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6.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4E999322-B9D2-584E-BA31-E4225880F927}" xr6:coauthVersionLast="47" xr6:coauthVersionMax="47" xr10:uidLastSave="{00000000-0000-0000-0000-000000000000}"/>
  <bookViews>
    <workbookView xWindow="-38400" yWindow="500" windowWidth="38400" windowHeight="20440" activeTab="7"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NewTrader!$O$1:$AG$1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19</definedName>
    <definedName name="SelRowNum">1780</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74" i="27"/>
  <c r="H74" i="27"/>
  <c r="G73" i="27"/>
  <c r="H73" i="27"/>
  <c r="G72" i="27"/>
  <c r="H72" i="27"/>
  <c r="G71" i="27"/>
  <c r="H71" i="27"/>
  <c r="G70" i="27"/>
  <c r="H70" i="27"/>
  <c r="G69" i="27"/>
  <c r="H69" i="27"/>
  <c r="G68" i="27"/>
  <c r="H68" i="27"/>
  <c r="G67" i="27"/>
  <c r="H67" i="27"/>
  <c r="G66" i="27"/>
  <c r="H66" i="27"/>
  <c r="G65" i="27"/>
  <c r="H65" i="27"/>
  <c r="G64" i="27"/>
  <c r="H64" i="27"/>
  <c r="G63" i="27"/>
  <c r="H63" i="27"/>
  <c r="G62" i="27"/>
  <c r="H62" i="27"/>
  <c r="G61" i="27"/>
  <c r="H61" i="27"/>
  <c r="G60" i="27"/>
  <c r="H60" i="27"/>
  <c r="G59" i="27"/>
  <c r="H59" i="27"/>
  <c r="G58" i="27"/>
  <c r="H58" i="27"/>
  <c r="G57" i="27"/>
  <c r="H57" i="27"/>
  <c r="G56" i="27"/>
  <c r="H56" i="27"/>
  <c r="G55" i="27"/>
  <c r="H55" i="27"/>
  <c r="G54" i="27"/>
  <c r="H54" i="27"/>
  <c r="G53" i="27"/>
  <c r="H53" i="27"/>
  <c r="G52" i="27"/>
  <c r="H52" i="27"/>
  <c r="G51" i="27"/>
  <c r="H51" i="27"/>
  <c r="G50" i="27"/>
  <c r="H50" i="27"/>
  <c r="G49" i="27"/>
  <c r="H49" i="27"/>
  <c r="G48" i="27"/>
  <c r="H48" i="27"/>
  <c r="G47" i="27"/>
  <c r="H47" i="27"/>
  <c r="G46" i="27"/>
  <c r="H46" i="27"/>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AU1775" i="13" l="1"/>
  <c r="AT1775" i="13"/>
  <c r="AS1775" i="13"/>
  <c r="AR1775" i="13"/>
  <c r="AQ1775" i="13"/>
  <c r="AP1775" i="13"/>
  <c r="AO1775" i="13"/>
  <c r="AN1775" i="13"/>
  <c r="AM1775" i="13"/>
  <c r="AL1775" i="13"/>
  <c r="AK1775" i="13"/>
  <c r="AJ1775" i="13"/>
  <c r="AI1775" i="13"/>
  <c r="AH1775" i="13"/>
  <c r="AG1775" i="13"/>
  <c r="AF1775" i="13"/>
  <c r="AE1775" i="13"/>
  <c r="AD1775" i="13"/>
  <c r="AC1775" i="13"/>
  <c r="G32" i="27"/>
  <c r="H32" i="27"/>
  <c r="G31" i="27"/>
  <c r="H31" i="27"/>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4" i="15" a="1"/>
  <c r="F654" i="15" s="1"/>
  <c r="G654" i="15" s="1"/>
  <c r="H654" i="15" a="1"/>
  <c r="H654" i="15" s="1"/>
  <c r="I654" i="15" a="1"/>
  <c r="I654" i="15" s="1"/>
  <c r="F655" i="15" a="1"/>
  <c r="F655" i="15" s="1"/>
  <c r="G655" i="15" s="1"/>
  <c r="H655" i="15" a="1"/>
  <c r="H655" i="15" s="1"/>
  <c r="I655" i="15" a="1"/>
  <c r="I655" i="15" s="1"/>
  <c r="F656" i="15" a="1"/>
  <c r="F656" i="15" s="1"/>
  <c r="G656" i="15" s="1"/>
  <c r="H656" i="15" a="1"/>
  <c r="H656" i="15" s="1"/>
  <c r="I656" i="15" a="1"/>
  <c r="I656"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E29" i="7" l="1" a="1"/>
  <c r="E29" i="7" s="1"/>
  <c r="H25" i="7"/>
  <c r="G30" i="27"/>
  <c r="H30" i="27"/>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75" i="27"/>
  <c r="E75" i="27"/>
  <c r="F75" i="27"/>
  <c r="G29" i="27"/>
  <c r="H29" i="27"/>
  <c r="G28" i="27"/>
  <c r="H28" i="27"/>
  <c r="G27" i="27"/>
  <c r="H27" i="27"/>
  <c r="G26" i="27"/>
  <c r="H26" i="27"/>
  <c r="G25" i="27"/>
  <c r="H25" i="27"/>
  <c r="G24" i="27"/>
  <c r="H24" i="27"/>
  <c r="G23" i="27"/>
  <c r="H23" i="27"/>
  <c r="G22" i="27"/>
  <c r="H22"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U113" i="72" l="1"/>
  <c r="AU112" i="72"/>
  <c r="AU111" i="72"/>
  <c r="AD104" i="72"/>
  <c r="AD103" i="72"/>
  <c r="BE102" i="72" a="1"/>
  <c r="BE102" i="72" s="1"/>
  <c r="BL97" i="72"/>
  <c r="E1" i="72"/>
  <c r="D1" i="72"/>
  <c r="CT109" i="70"/>
  <c r="AU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80" i="27" a="1"/>
  <c r="D80"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H75" i="27" s="1"/>
  <c r="G21" i="27"/>
  <c r="G75" i="27" s="1"/>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4" i="15" a="1"/>
  <c r="K654" i="15" s="1"/>
  <c r="L654" i="15" a="1"/>
  <c r="L654" i="15" s="1"/>
  <c r="M654" i="15" a="1"/>
  <c r="M654" i="15" s="1"/>
  <c r="N654" i="15" a="1"/>
  <c r="N654" i="15" s="1"/>
  <c r="K655" i="15" a="1"/>
  <c r="K655" i="15" s="1"/>
  <c r="L655" i="15" a="1"/>
  <c r="L655" i="15" s="1"/>
  <c r="M655" i="15" a="1"/>
  <c r="M655" i="15" s="1"/>
  <c r="N655" i="15" a="1"/>
  <c r="N655"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S11" i="70" a="1"/>
  <c r="S11"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S32" i="70" a="1"/>
  <c r="S32"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S21" i="70" a="1"/>
  <c r="S21" i="70" s="1"/>
  <c r="AE12" i="70" a="1"/>
  <c r="AE12" i="70" s="1"/>
  <c r="AD19" i="70" a="1"/>
  <c r="AD19" i="70" s="1"/>
  <c r="V12" i="70" a="1"/>
  <c r="V12" i="70" s="1"/>
  <c r="AN16" i="70" a="1"/>
  <c r="AN16" i="70" s="1"/>
  <c r="AL12" i="70" a="1"/>
  <c r="AL12" i="70" s="1"/>
  <c r="AU14" i="70" a="1"/>
  <c r="AU14" i="70" s="1"/>
  <c r="S14" i="70" a="1"/>
  <c r="S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S49"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S29" i="70" a="1"/>
  <c r="S29"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S17" i="70" a="1"/>
  <c r="S17"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S22" i="70" a="1"/>
  <c r="S22"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S33" i="70" a="1"/>
  <c r="S33"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S25" i="70" a="1"/>
  <c r="S25"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S15" i="70" a="1"/>
  <c r="S15"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S31" i="70" a="1"/>
  <c r="S31"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S35" i="70" a="1"/>
  <c r="S35"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S10" i="70" a="1"/>
  <c r="S10"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28" i="70" l="1"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M93"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AJ93" i="70" s="1"/>
  <c r="X94" i="70" a="1"/>
  <c r="X94" i="70" s="1"/>
  <c r="S94" i="70" a="1"/>
  <c r="S94" i="70" s="1"/>
  <c r="AF93" i="70" s="1"/>
  <c r="W101" i="70" a="1"/>
  <c r="W101" i="70" s="1"/>
  <c r="AJ100" i="70" s="1"/>
  <c r="Z98" i="70" a="1"/>
  <c r="Z98" i="70" s="1"/>
  <c r="AM97" i="70" s="1"/>
  <c r="Y96" i="70" a="1"/>
  <c r="Y96" i="70" s="1"/>
  <c r="AL95" i="70" s="1"/>
  <c r="U97" i="70" a="1"/>
  <c r="U97" i="70" s="1"/>
  <c r="S101" i="70" a="1"/>
  <c r="S101" i="70" s="1"/>
  <c r="S97" i="70" a="1"/>
  <c r="S97" i="70" s="1"/>
  <c r="W98" i="70" a="1"/>
  <c r="W98" i="70" s="1"/>
  <c r="U98" i="70" a="1"/>
  <c r="U98" i="70" s="1"/>
  <c r="S99" i="70" a="1"/>
  <c r="S99" i="70" s="1"/>
  <c r="W99" i="70" a="1"/>
  <c r="W99" i="70" s="1"/>
  <c r="W97" i="70" a="1"/>
  <c r="W97" i="70" s="1"/>
  <c r="V95" i="70" a="1"/>
  <c r="V95" i="70" s="1"/>
  <c r="AI94" i="70" s="1"/>
  <c r="X102" i="70" a="1"/>
  <c r="X102" i="70" s="1"/>
  <c r="Y99" i="70" a="1"/>
  <c r="Y99" i="70" s="1"/>
  <c r="Y95" i="70" a="1"/>
  <c r="Y95" i="70" s="1"/>
  <c r="T98" i="70" a="1"/>
  <c r="T98" i="70" s="1"/>
  <c r="T96" i="70" a="1"/>
  <c r="T96" i="70" s="1"/>
  <c r="AG95" i="70" s="1"/>
  <c r="X96" i="70" a="1"/>
  <c r="X96" i="70" s="1"/>
  <c r="AK95" i="70" s="1"/>
  <c r="W102" i="70" a="1"/>
  <c r="W102" i="70" s="1"/>
  <c r="Y97" i="70" a="1"/>
  <c r="Y97" i="70" s="1"/>
  <c r="X97" i="70" a="1"/>
  <c r="X97" i="70" s="1"/>
  <c r="Z96" i="70" a="1"/>
  <c r="Z96" i="70" s="1"/>
  <c r="S96" i="70" a="1"/>
  <c r="S96" i="70" s="1"/>
  <c r="T95" i="70" a="1"/>
  <c r="T95" i="70" s="1"/>
  <c r="Z101" i="70" a="1"/>
  <c r="Z101" i="70" s="1"/>
  <c r="V96" i="70" a="1"/>
  <c r="V96" i="70" s="1"/>
  <c r="AI95" i="70" s="1"/>
  <c r="X95" i="70" a="1"/>
  <c r="X95" i="70" s="1"/>
  <c r="W95" i="70" a="1"/>
  <c r="W95" i="70" s="1"/>
  <c r="AJ94" i="70" s="1"/>
  <c r="U95" i="70" a="1"/>
  <c r="U95" i="70" s="1"/>
  <c r="Y102" i="70" a="1"/>
  <c r="Y102" i="70" s="1"/>
  <c r="T101" i="70" a="1"/>
  <c r="T101" i="70" s="1"/>
  <c r="S95" i="70" a="1"/>
  <c r="S95" i="70" s="1"/>
  <c r="U102" i="70" a="1"/>
  <c r="U102" i="70" s="1"/>
  <c r="AH101" i="70" s="1"/>
  <c r="V100" i="70" a="1"/>
  <c r="V100" i="70" s="1"/>
  <c r="V97" i="70" a="1"/>
  <c r="V97" i="70" s="1"/>
  <c r="S102" i="70" a="1"/>
  <c r="S102" i="70" s="1"/>
  <c r="W100" i="70" a="1"/>
  <c r="W100" i="70" s="1"/>
  <c r="X101" i="70" a="1"/>
  <c r="X101" i="70" s="1"/>
  <c r="Y101" i="70" a="1"/>
  <c r="Y101" i="70" s="1"/>
  <c r="U96" i="70" a="1"/>
  <c r="U96" i="70" s="1"/>
  <c r="V101" i="70" a="1"/>
  <c r="V101" i="70" s="1"/>
  <c r="U101" i="70" a="1"/>
  <c r="U101" i="70" s="1"/>
  <c r="AH100" i="70" s="1"/>
  <c r="Z99" i="70" a="1"/>
  <c r="Z99" i="70" s="1"/>
  <c r="AM98" i="70" s="1"/>
  <c r="U100" i="70" a="1"/>
  <c r="U100" i="70" s="1"/>
  <c r="Z95" i="70" a="1"/>
  <c r="Z95" i="70" s="1"/>
  <c r="Y100" i="70" a="1"/>
  <c r="Y100" i="70" s="1"/>
  <c r="X100" i="70" a="1"/>
  <c r="X100" i="70" s="1"/>
  <c r="AK99" i="70" s="1"/>
  <c r="T99" i="70" a="1"/>
  <c r="T99" i="70" s="1"/>
  <c r="V102" i="70" a="1"/>
  <c r="V102" i="70" s="1"/>
  <c r="X99" i="70" a="1"/>
  <c r="X99" i="70" s="1"/>
  <c r="Z102" i="70" a="1"/>
  <c r="Z102" i="70" s="1"/>
  <c r="S100" i="70" a="1"/>
  <c r="S100" i="70" s="1"/>
  <c r="T102" i="70" a="1"/>
  <c r="T102" i="70" s="1"/>
  <c r="V99" i="70" a="1"/>
  <c r="V99" i="70" s="1"/>
  <c r="U99" i="70" a="1"/>
  <c r="U99" i="70" s="1"/>
  <c r="Z97" i="70" a="1"/>
  <c r="Z97" i="70" s="1"/>
  <c r="AM96"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AE98" i="70" s="1"/>
  <c r="R102" i="70" a="1"/>
  <c r="R102" i="70" s="1"/>
  <c r="AE101"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K101" i="70" s="1"/>
  <c r="AC100" i="70"/>
  <c r="AC95" i="70"/>
  <c r="AC97" i="70"/>
  <c r="AC96" i="70"/>
  <c r="AC99" i="70"/>
  <c r="AE99" i="70" s="1"/>
  <c r="AC94" i="70"/>
  <c r="BD132" i="70" a="1"/>
  <c r="BD132" i="70" s="1"/>
  <c r="AC93" i="70"/>
  <c r="AE93" i="70" s="1"/>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E96" i="70" l="1"/>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D19"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N93" i="70"/>
  <c r="BD91" i="70"/>
  <c r="BM91" i="70" s="1"/>
  <c r="BM93" i="70"/>
  <c r="CP113" i="70"/>
  <c r="CI112" i="70"/>
  <c r="BV110" i="70" a="1"/>
  <c r="KE74" i="12"/>
  <c r="JX74" i="12"/>
  <c r="KD74" i="12"/>
  <c r="KB74" i="12"/>
  <c r="KA74" i="12"/>
  <c r="JY74" i="12"/>
  <c r="JV74" i="12"/>
  <c r="JU74" i="12"/>
  <c r="B2" i="26" a="1"/>
  <c r="B2" i="26" s="1"/>
  <c r="AA1" i="19" a="1"/>
  <c r="AA1" i="19" s="1"/>
  <c r="R2" i="14"/>
  <c r="F10" i="27" l="1"/>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P94" i="70" s="1"/>
  <c r="CC94" i="70" a="1"/>
  <c r="CC94" i="70" s="1"/>
  <c r="CQ94" i="70" s="1"/>
  <c r="CA100" i="70" a="1"/>
  <c r="CA100" i="70" s="1"/>
  <c r="CO100" i="70" s="1"/>
  <c r="CA101" i="70" a="1"/>
  <c r="CA101" i="70" s="1"/>
  <c r="CO101" i="70" s="1"/>
  <c r="BZ98" i="70" a="1"/>
  <c r="BZ98" i="70" s="1"/>
  <c r="BW101" i="70" a="1"/>
  <c r="BW101" i="70" s="1"/>
  <c r="CK101" i="70" s="1"/>
  <c r="BW96" i="70" a="1"/>
  <c r="BW96" i="70" s="1"/>
  <c r="CC95" i="70" a="1"/>
  <c r="CC95" i="70" s="1"/>
  <c r="CQ95" i="70" s="1"/>
  <c r="BW98" i="70" a="1"/>
  <c r="BW98" i="70" s="1"/>
  <c r="CK98" i="70" s="1"/>
  <c r="BZ95" i="70" a="1"/>
  <c r="BZ95" i="70" s="1"/>
  <c r="CN95" i="70" s="1"/>
  <c r="BY101" i="70" a="1"/>
  <c r="BY101" i="70" s="1"/>
  <c r="CM101" i="70" s="1"/>
  <c r="CA99" i="70" a="1"/>
  <c r="CA99" i="70" s="1"/>
  <c r="BY100" i="70" a="1"/>
  <c r="BY100" i="70" s="1"/>
  <c r="CM100" i="70" s="1"/>
  <c r="CB98" i="70" a="1"/>
  <c r="CB98" i="70" s="1"/>
  <c r="CP98" i="70" s="1"/>
  <c r="CB97" i="70" a="1"/>
  <c r="CB97" i="70" s="1"/>
  <c r="BX95" i="70" a="1"/>
  <c r="BX95" i="70" s="1"/>
  <c r="CL95" i="70" s="1"/>
  <c r="BY96" i="70" a="1"/>
  <c r="BY96" i="70" s="1"/>
  <c r="BW94" i="70" a="1"/>
  <c r="BW94" i="70" s="1"/>
  <c r="CK94" i="70" s="1"/>
  <c r="BZ101" i="70" a="1"/>
  <c r="BZ101" i="70" s="1"/>
  <c r="CN101" i="70" s="1"/>
  <c r="CB101" i="70" a="1"/>
  <c r="CB101" i="70" s="1"/>
  <c r="CP101" i="70" s="1"/>
  <c r="BX98" i="70" a="1"/>
  <c r="BX98" i="70" s="1"/>
  <c r="CL98" i="70" s="1"/>
  <c r="BX94" i="70" a="1"/>
  <c r="BX94" i="70" s="1"/>
  <c r="CC97" i="70" a="1"/>
  <c r="CC97" i="70" s="1"/>
  <c r="CB95" i="70" a="1"/>
  <c r="CB95" i="70" s="1"/>
  <c r="CP95" i="70" s="1"/>
  <c r="CB100" i="70" a="1"/>
  <c r="CB100" i="70" s="1"/>
  <c r="BZ100" i="70" a="1"/>
  <c r="BZ100" i="70" s="1"/>
  <c r="BZ94" i="70" a="1"/>
  <c r="BZ94" i="70" s="1"/>
  <c r="CN94" i="70" s="1"/>
  <c r="BW97" i="70" a="1"/>
  <c r="BW97" i="70" s="1"/>
  <c r="BX96" i="70" a="1"/>
  <c r="BX96" i="70" s="1"/>
  <c r="BY97" i="70" a="1"/>
  <c r="BY97" i="70" s="1"/>
  <c r="BZ97" i="70" a="1"/>
  <c r="BZ97" i="70" s="1"/>
  <c r="CA96" i="70" a="1"/>
  <c r="CA96" i="70" s="1"/>
  <c r="BX97" i="70" a="1"/>
  <c r="BX97" i="70" s="1"/>
  <c r="CA98" i="70" a="1"/>
  <c r="CA98" i="70" s="1"/>
  <c r="BW99" i="70" a="1"/>
  <c r="BW99" i="70" s="1"/>
  <c r="CK99" i="70" s="1"/>
  <c r="CA97" i="70" a="1"/>
  <c r="CA97" i="70" s="1"/>
  <c r="CO97" i="70" s="1"/>
  <c r="CA94" i="70" a="1"/>
  <c r="CA94" i="70" s="1"/>
  <c r="CO94" i="70" s="1"/>
  <c r="CB99" i="70" a="1"/>
  <c r="CB99" i="70" s="1"/>
  <c r="CP99" i="70" s="1"/>
  <c r="CA95" i="70" a="1"/>
  <c r="CA95" i="70" s="1"/>
  <c r="BY94" i="70" a="1"/>
  <c r="BY94" i="70" s="1"/>
  <c r="CM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CQ96" i="70" s="1"/>
  <c r="BZ99" i="70" a="1"/>
  <c r="BZ99" i="70" s="1"/>
  <c r="CN99" i="70" s="1"/>
  <c r="BW100" i="70" a="1"/>
  <c r="BW100" i="70" s="1"/>
  <c r="BY99" i="70" a="1"/>
  <c r="BY99" i="70" s="1"/>
  <c r="CM99" i="70" s="1"/>
  <c r="CC99" i="70" a="1"/>
  <c r="CC99" i="70" s="1"/>
  <c r="BX100" i="70" a="1"/>
  <c r="BX100" i="70" s="1"/>
  <c r="CL100" i="70" s="1"/>
  <c r="CC98" i="70" a="1"/>
  <c r="CC98" i="70" s="1"/>
  <c r="CA93" i="70" a="1"/>
  <c r="CA93" i="70" s="1"/>
  <c r="CO93" i="70" s="1"/>
  <c r="BW93" i="70" a="1"/>
  <c r="BW93" i="70" s="1"/>
  <c r="CK93" i="70" s="1"/>
  <c r="BZ93" i="70" a="1"/>
  <c r="BZ93" i="70" s="1"/>
  <c r="CC93" i="70" a="1"/>
  <c r="CC93" i="70" s="1"/>
  <c r="CQ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CJ93" i="70" s="1"/>
  <c r="BV99" i="70" a="1"/>
  <c r="BV99" i="70" s="1"/>
  <c r="CJ99" i="70" s="1"/>
  <c r="BV96" i="70" a="1"/>
  <c r="BV96" i="70" s="1"/>
  <c r="BV100" i="70" a="1"/>
  <c r="BV100" i="70" s="1"/>
  <c r="BV101" i="70" a="1"/>
  <c r="BV101" i="70" s="1"/>
  <c r="CJ101" i="70" s="1"/>
  <c r="BV97" i="70" a="1"/>
  <c r="BV97" i="70" s="1"/>
  <c r="CJ97" i="70" s="1"/>
  <c r="BV94" i="70" a="1"/>
  <c r="BV94" i="70" s="1"/>
  <c r="BV95" i="70" a="1"/>
  <c r="BV95" i="70" s="1"/>
  <c r="BV98" i="70" a="1"/>
  <c r="BV98" i="70" s="1"/>
  <c r="CJ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H95" i="70"/>
  <c r="CO95" i="70" s="1"/>
  <c r="CH94" i="70"/>
  <c r="CH96" i="70"/>
  <c r="CH97" i="70"/>
  <c r="CH98" i="70"/>
  <c r="CH101" i="70"/>
  <c r="CQ101" i="70" s="1"/>
  <c r="CH99" i="70"/>
  <c r="CL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J94" i="70" l="1"/>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N93" i="70" s="1"/>
  <c r="BT93" i="70"/>
  <c r="CP93" i="70" l="1"/>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Q55" i="70" s="1"/>
  <c r="CS20" i="70" a="1"/>
  <c r="CS20" i="70" s="1"/>
  <c r="CS19" i="70" a="1"/>
  <c r="CS19" i="70" s="1"/>
  <c r="CS51" i="70"/>
  <c r="CS56" i="70" l="1"/>
  <c r="CQ60" i="70"/>
  <c r="CS57" i="70"/>
  <c r="CQ61" i="70"/>
  <c r="CS58" i="70"/>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8" i="70" a="1"/>
  <c r="CP58"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Z1192" i="13" l="1"/>
  <c r="Z1095" i="13"/>
  <c r="Z11" i="13"/>
  <c r="Z211" i="13"/>
  <c r="Z311" i="13"/>
  <c r="Z411" i="13"/>
  <c r="Z611" i="13"/>
  <c r="Z710" i="13"/>
  <c r="Z909" i="13"/>
  <c r="Z1008" i="13"/>
  <c r="Z1107" i="13"/>
  <c r="Z111" i="13" l="1"/>
  <c r="Z1404" i="13"/>
  <c r="Z1206" i="13"/>
  <c r="H9" i="4"/>
  <c r="A11" i="13"/>
  <c r="A96" i="13"/>
  <c r="H94" i="4"/>
  <c r="Z511" i="13"/>
  <c r="Z512" i="13"/>
  <c r="CF9" i="4" a="1"/>
  <c r="CH9" i="4"/>
  <c r="CQ9" i="4"/>
  <c r="CD9" i="4" a="1"/>
  <c r="AE9" i="4" a="1"/>
  <c r="AC9" i="4" a="1"/>
  <c r="CE9" i="4" a="1"/>
  <c r="BP9" i="4" a="1"/>
  <c r="CK9" i="4" a="1"/>
  <c r="AK9" i="4" a="1"/>
  <c r="CM9" i="4" a="1"/>
  <c r="CG9" i="4" a="1"/>
  <c r="BN9" i="4" a="1"/>
  <c r="CB9" i="4" a="1"/>
  <c r="CC9" i="4" a="1"/>
  <c r="CJ9" i="4" a="1"/>
  <c r="CN9" i="4" a="1"/>
  <c r="CL9" i="4" a="1"/>
  <c r="CI9" i="4" a="1"/>
  <c r="CT9" i="4"/>
  <c r="AM9" i="4" a="1"/>
  <c r="CM94" i="4" a="1"/>
  <c r="CG94" i="4" a="1"/>
  <c r="AK94" i="4" a="1"/>
  <c r="AE94" i="4" a="1"/>
  <c r="BP94" i="4" a="1"/>
  <c r="CD94" i="4" a="1"/>
  <c r="CT94" i="4"/>
  <c r="CB94" i="4" a="1"/>
  <c r="CC94" i="4" a="1"/>
  <c r="CI94" i="4" a="1"/>
  <c r="CL94" i="4" a="1"/>
  <c r="AM94" i="4" a="1"/>
  <c r="CE94" i="4" a="1"/>
  <c r="AC94" i="4" a="1"/>
  <c r="CF94" i="4" a="1"/>
  <c r="CJ94" i="4" a="1"/>
  <c r="BN94" i="4" a="1"/>
  <c r="CH94" i="4"/>
  <c r="CQ94" i="4"/>
  <c r="CN94" i="4" a="1"/>
  <c r="CK94" i="4" a="1"/>
  <c r="CP9" i="4" a="1"/>
  <c r="CO9" i="4" a="1"/>
  <c r="CR9" i="4" a="1"/>
  <c r="CS9" i="4" a="1"/>
  <c r="CS94" i="4" a="1"/>
  <c r="CR94" i="4" a="1"/>
  <c r="CP94" i="4" a="1"/>
  <c r="CO94" i="4" a="1"/>
  <c r="CO94" i="4" l="1"/>
  <c r="CP94" i="4"/>
  <c r="CR94" i="4"/>
  <c r="CS94" i="4"/>
  <c r="CS9" i="4"/>
  <c r="CR9" i="4"/>
  <c r="CO9" i="4"/>
  <c r="CP9" i="4"/>
  <c r="CK94" i="4"/>
  <c r="CN94" i="4"/>
  <c r="BN94" i="4"/>
  <c r="CJ94" i="4"/>
  <c r="CF94" i="4"/>
  <c r="AC94" i="4"/>
  <c r="CE94" i="4"/>
  <c r="AM94" i="4"/>
  <c r="CL94" i="4"/>
  <c r="CI94" i="4"/>
  <c r="CC94" i="4"/>
  <c r="CB94" i="4"/>
  <c r="CD94" i="4"/>
  <c r="BP94" i="4"/>
  <c r="AE94" i="4"/>
  <c r="AK94" i="4"/>
  <c r="CG94" i="4"/>
  <c r="CM94" i="4"/>
  <c r="AM9" i="4"/>
  <c r="CI9" i="4"/>
  <c r="CL9" i="4"/>
  <c r="CN9" i="4"/>
  <c r="CJ9" i="4"/>
  <c r="CC9" i="4"/>
  <c r="CB9" i="4"/>
  <c r="BN9" i="4"/>
  <c r="CG9" i="4"/>
  <c r="CM9" i="4"/>
  <c r="AK9" i="4"/>
  <c r="CK9" i="4"/>
  <c r="BP9" i="4"/>
  <c r="CE9" i="4"/>
  <c r="AC9" i="4"/>
  <c r="AE9" i="4"/>
  <c r="CD9" i="4"/>
  <c r="CF9" i="4"/>
  <c r="AX696" i="13"/>
  <c r="A196" i="13"/>
  <c r="A1192" i="13"/>
  <c r="AX496" i="13"/>
  <c r="A795" i="13"/>
  <c r="AX795" i="13" s="1"/>
  <c r="A596" i="13"/>
  <c r="A696" i="13"/>
  <c r="A496" i="13"/>
  <c r="AX1093" i="13"/>
  <c r="AX596" i="13"/>
  <c r="A994" i="13"/>
  <c r="AX994" i="13" s="1"/>
  <c r="A1093" i="13"/>
  <c r="AX96" i="13"/>
  <c r="A895" i="13"/>
  <c r="AX895" i="13" s="1"/>
  <c r="BC94" i="4" a="1"/>
  <c r="BC94" i="4" s="1"/>
  <c r="A96" i="9"/>
  <c r="D94" i="4"/>
  <c r="D94" i="1"/>
  <c r="A94" i="20"/>
  <c r="BV94" i="4" a="1"/>
  <c r="BV94" i="4" s="1"/>
  <c r="C94" i="4"/>
  <c r="BU94" i="4" a="1"/>
  <c r="BU94" i="4" s="1"/>
  <c r="AX411" i="13"/>
  <c r="A111" i="13"/>
  <c r="A1107" i="13"/>
  <c r="A909" i="13"/>
  <c r="AX909" i="13" s="1"/>
  <c r="A810" i="13"/>
  <c r="AX810" i="13" s="1"/>
  <c r="AX511" i="13"/>
  <c r="AX1008" i="13"/>
  <c r="A1008" i="13"/>
  <c r="A710" i="13"/>
  <c r="AX710" i="13" s="1"/>
  <c r="A611" i="13"/>
  <c r="AX611" i="13"/>
  <c r="A511" i="13"/>
  <c r="AX11" i="13"/>
  <c r="A411" i="13"/>
  <c r="D9" i="1"/>
  <c r="A9" i="20"/>
  <c r="BV9" i="4" a="1"/>
  <c r="BV9" i="4" s="1"/>
  <c r="BC9" i="4" a="1"/>
  <c r="BC9" i="4" s="1"/>
  <c r="C9" i="4"/>
  <c r="BU9" i="4" a="1"/>
  <c r="BU9" i="4" s="1"/>
  <c r="D9" i="4"/>
  <c r="A11" i="9"/>
  <c r="Z12" i="13"/>
  <c r="Z212" i="13"/>
  <c r="Z312" i="13"/>
  <c r="Z412" i="13"/>
  <c r="Z513" i="13"/>
  <c r="Z612" i="13"/>
  <c r="Z711" i="13"/>
  <c r="Z810" i="13"/>
  <c r="Z910" i="13"/>
  <c r="Z1009" i="13"/>
  <c r="Z1108" i="13"/>
  <c r="AJ9" i="4" a="1"/>
  <c r="AI9" i="4" a="1"/>
  <c r="AA94" i="4" a="1"/>
  <c r="AB94" i="4" a="1"/>
  <c r="B94" i="1" a="1"/>
  <c r="AO9" i="4" a="1"/>
  <c r="AN9" i="4" a="1"/>
  <c r="AN94" i="4" a="1"/>
  <c r="AO94" i="4" a="1"/>
  <c r="B9" i="1" a="1"/>
  <c r="AA9" i="4" a="1"/>
  <c r="AB9" i="4" a="1"/>
  <c r="AF94" i="4" a="1"/>
  <c r="AG94" i="4" a="1"/>
  <c r="AG9" i="4" a="1"/>
  <c r="AF9" i="4" a="1"/>
  <c r="AI94" i="4" a="1"/>
  <c r="AJ94" i="4" a="1"/>
  <c r="BO94" i="4" l="1"/>
  <c r="BW9" i="4"/>
  <c r="AJ94" i="4"/>
  <c r="AI94" i="4"/>
  <c r="AF9" i="4"/>
  <c r="AG9" i="4"/>
  <c r="AG94" i="4"/>
  <c r="AF94" i="4"/>
  <c r="AB9" i="4"/>
  <c r="AA9" i="4"/>
  <c r="B9" i="1"/>
  <c r="AO94" i="4"/>
  <c r="AN94" i="4"/>
  <c r="AN9" i="4"/>
  <c r="AO9" i="4"/>
  <c r="B94" i="1"/>
  <c r="AB94" i="4"/>
  <c r="AA94" i="4"/>
  <c r="AI9" i="4"/>
  <c r="AJ9" i="4"/>
  <c r="Z1405" i="13"/>
  <c r="Z1207" i="13"/>
  <c r="A296" i="13"/>
  <c r="AX196" i="13"/>
  <c r="G9" i="4"/>
  <c r="BO9" i="4"/>
  <c r="G94" i="4"/>
  <c r="BZ9" i="4" a="1"/>
  <c r="BZ9" i="4" s="1"/>
  <c r="BX9" i="4" s="1" a="1"/>
  <c r="BX9" i="4" s="1"/>
  <c r="BY9" i="4" a="1"/>
  <c r="BY9" i="4" s="1"/>
  <c r="H10" i="4"/>
  <c r="A12" i="13"/>
  <c r="H3" i="4"/>
  <c r="A5" i="13"/>
  <c r="DC11" i="4"/>
  <c r="AV211" i="13"/>
  <c r="DC9" i="4"/>
  <c r="BZ94" i="4" a="1"/>
  <c r="BZ94" i="4" s="1"/>
  <c r="BX94" i="4" s="1" a="1"/>
  <c r="BX94" i="4" s="1"/>
  <c r="BY94" i="4" a="1"/>
  <c r="BY94" i="4" s="1"/>
  <c r="A1291" i="13"/>
  <c r="AX1192" i="13"/>
  <c r="Z112" i="13"/>
  <c r="AX1107" i="13"/>
  <c r="A1206" i="13"/>
  <c r="AX111" i="13"/>
  <c r="A211" i="13"/>
  <c r="BW94" i="4"/>
  <c r="CE10" i="4" a="1"/>
  <c r="AK10" i="4" a="1"/>
  <c r="CG10" i="4" a="1"/>
  <c r="CD10" i="4" a="1"/>
  <c r="BP10" i="4" a="1"/>
  <c r="BN10" i="4" a="1"/>
  <c r="AE10" i="4" a="1"/>
  <c r="CN10" i="4" a="1"/>
  <c r="CJ10" i="4" a="1"/>
  <c r="CH10" i="4"/>
  <c r="AC10" i="4" a="1"/>
  <c r="CL10" i="4" a="1"/>
  <c r="CC10" i="4" a="1"/>
  <c r="AM10" i="4" a="1"/>
  <c r="CT10" i="4"/>
  <c r="CI10" i="4" a="1"/>
  <c r="CM10" i="4" a="1"/>
  <c r="CQ10" i="4"/>
  <c r="CB10" i="4" a="1"/>
  <c r="CK10" i="4" a="1"/>
  <c r="CF10" i="4" a="1"/>
  <c r="CD3" i="4" a="1"/>
  <c r="CG3" i="4" a="1"/>
  <c r="AC3" i="4" a="1"/>
  <c r="CM3" i="4" a="1"/>
  <c r="BP3" i="4" a="1"/>
  <c r="CK3" i="4" a="1"/>
  <c r="CL3" i="4" a="1"/>
  <c r="BN3" i="4" a="1"/>
  <c r="CE3" i="4" a="1"/>
  <c r="CI3" i="4" a="1"/>
  <c r="AM3" i="4" a="1"/>
  <c r="CH3" i="4"/>
  <c r="AE3" i="4" a="1"/>
  <c r="CT3" i="4"/>
  <c r="CB3" i="4" a="1"/>
  <c r="CN3" i="4" a="1"/>
  <c r="CC3" i="4" a="1"/>
  <c r="CF3" i="4" a="1"/>
  <c r="AK3" i="4" a="1"/>
  <c r="CJ3" i="4" a="1"/>
  <c r="CQ3" i="4"/>
  <c r="CR10" i="4" a="1"/>
  <c r="CS10" i="4" a="1"/>
  <c r="CO10" i="4" a="1"/>
  <c r="CP10" i="4" a="1"/>
  <c r="CR3" i="4" a="1"/>
  <c r="CS3" i="4" a="1"/>
  <c r="CO3" i="4" a="1"/>
  <c r="CP3" i="4" a="1"/>
  <c r="CP3" i="4" l="1"/>
  <c r="CO3" i="4"/>
  <c r="CS3" i="4"/>
  <c r="CR3" i="4"/>
  <c r="CP10" i="4"/>
  <c r="CO10" i="4"/>
  <c r="CS10" i="4"/>
  <c r="CR10" i="4"/>
  <c r="CJ3" i="4"/>
  <c r="AK3" i="4"/>
  <c r="CF3" i="4"/>
  <c r="CC3" i="4"/>
  <c r="CN3" i="4"/>
  <c r="CB3" i="4"/>
  <c r="AE3" i="4"/>
  <c r="AM3" i="4"/>
  <c r="CI3" i="4"/>
  <c r="CE3" i="4"/>
  <c r="BN3" i="4"/>
  <c r="CL3" i="4"/>
  <c r="CK3" i="4"/>
  <c r="BP3" i="4"/>
  <c r="CM3" i="4"/>
  <c r="AC3" i="4"/>
  <c r="CG3" i="4"/>
  <c r="CD3" i="4"/>
  <c r="CF10" i="4"/>
  <c r="CK10" i="4"/>
  <c r="CB10" i="4"/>
  <c r="CM10" i="4"/>
  <c r="CI10" i="4"/>
  <c r="AM10" i="4"/>
  <c r="CC10" i="4"/>
  <c r="CL10" i="4"/>
  <c r="AC10" i="4"/>
  <c r="CJ10" i="4"/>
  <c r="CN10" i="4"/>
  <c r="AE10" i="4"/>
  <c r="BN10" i="4"/>
  <c r="BP10" i="4"/>
  <c r="CD10" i="4"/>
  <c r="CG10" i="4"/>
  <c r="AK10" i="4"/>
  <c r="CE10" i="4"/>
  <c r="AX296" i="13"/>
  <c r="A396" i="13"/>
  <c r="AX396" i="13" s="1"/>
  <c r="AX505" i="13"/>
  <c r="A1101" i="13"/>
  <c r="AX1002" i="13"/>
  <c r="A804" i="13"/>
  <c r="AX804" i="13" s="1"/>
  <c r="AX605" i="13"/>
  <c r="A505" i="13"/>
  <c r="A405" i="13"/>
  <c r="A105" i="13"/>
  <c r="A605" i="13"/>
  <c r="A903" i="13"/>
  <c r="AX903" i="13" s="1"/>
  <c r="AX405" i="13"/>
  <c r="AX5" i="13"/>
  <c r="A704" i="13"/>
  <c r="A1002" i="13"/>
  <c r="X9" i="72"/>
  <c r="X9" i="69"/>
  <c r="A3" i="20"/>
  <c r="C3" i="4"/>
  <c r="D3" i="1"/>
  <c r="BU3" i="4" a="1"/>
  <c r="BU3" i="4" s="1"/>
  <c r="BV3" i="4" a="1"/>
  <c r="BV3" i="4" s="1"/>
  <c r="G3" i="9"/>
  <c r="K3" i="4"/>
  <c r="D3" i="4"/>
  <c r="BC3" i="4" a="1"/>
  <c r="BC3" i="4" s="1"/>
  <c r="A5" i="9"/>
  <c r="A512" i="13"/>
  <c r="A811" i="13"/>
  <c r="AX811" i="13" s="1"/>
  <c r="A612" i="13"/>
  <c r="AX412" i="13"/>
  <c r="A711" i="13"/>
  <c r="AX711" i="13" s="1"/>
  <c r="AX612" i="13"/>
  <c r="A910" i="13"/>
  <c r="AX910" i="13" s="1"/>
  <c r="AX1009" i="13"/>
  <c r="A412" i="13"/>
  <c r="AX12" i="13"/>
  <c r="A1009" i="13"/>
  <c r="A1108" i="13"/>
  <c r="AX512" i="13"/>
  <c r="A112" i="13"/>
  <c r="BC10" i="4" a="1"/>
  <c r="BC10" i="4" s="1"/>
  <c r="D10" i="1"/>
  <c r="C10" i="4"/>
  <c r="BU10" i="4" a="1"/>
  <c r="BU10" i="4" s="1"/>
  <c r="BV10" i="4" a="1"/>
  <c r="BV10" i="4" s="1"/>
  <c r="D10" i="4"/>
  <c r="A12" i="9"/>
  <c r="A10" i="20"/>
  <c r="A1390" i="13"/>
  <c r="AX1291" i="13"/>
  <c r="AY94" i="4"/>
  <c r="AW94" i="4"/>
  <c r="Z1390" i="13"/>
  <c r="AV96" i="13"/>
  <c r="A311" i="13"/>
  <c r="AX311" i="13" s="1"/>
  <c r="AX211" i="13"/>
  <c r="A1305" i="13"/>
  <c r="AX1206" i="13"/>
  <c r="X94" i="69"/>
  <c r="X94" i="72"/>
  <c r="AV11" i="13"/>
  <c r="AW9" i="4"/>
  <c r="Z1305" i="13"/>
  <c r="AY9" i="4"/>
  <c r="AB3" i="4" a="1"/>
  <c r="AA3" i="4" a="1"/>
  <c r="AG10" i="4" a="1"/>
  <c r="AF10" i="4" a="1"/>
  <c r="AF3" i="4" a="1"/>
  <c r="AG3" i="4" a="1"/>
  <c r="AN3" i="4" a="1"/>
  <c r="AO3" i="4" a="1"/>
  <c r="AI10" i="4" a="1"/>
  <c r="AJ10" i="4" a="1"/>
  <c r="AN10" i="4" a="1"/>
  <c r="AO10" i="4" a="1"/>
  <c r="AJ3" i="4" a="1"/>
  <c r="AI3" i="4" a="1"/>
  <c r="B3" i="1" a="1"/>
  <c r="AB10" i="4" a="1"/>
  <c r="AA10" i="4" a="1"/>
  <c r="B10" i="1" a="1"/>
  <c r="BW3" i="4" l="1"/>
  <c r="BW10" i="4"/>
  <c r="B10" i="1"/>
  <c r="AA10" i="4"/>
  <c r="AB10" i="4"/>
  <c r="B3" i="1"/>
  <c r="AI3" i="4"/>
  <c r="AJ3" i="4"/>
  <c r="AO10" i="4"/>
  <c r="AN10" i="4"/>
  <c r="AJ10" i="4"/>
  <c r="AI10" i="4"/>
  <c r="AO3" i="4"/>
  <c r="AN3" i="4"/>
  <c r="AG3" i="4"/>
  <c r="AF3" i="4"/>
  <c r="AF10" i="4"/>
  <c r="AG10" i="4"/>
  <c r="AA3" i="4"/>
  <c r="AB3" i="4"/>
  <c r="A1404" i="13"/>
  <c r="AX1305" i="13"/>
  <c r="AX112" i="13"/>
  <c r="A212" i="13"/>
  <c r="A1489" i="13"/>
  <c r="AX1390" i="13"/>
  <c r="AX1108" i="13"/>
  <c r="A1207" i="13"/>
  <c r="BU94" i="72"/>
  <c r="AA94" i="72"/>
  <c r="AA94" i="69"/>
  <c r="BP94" i="69"/>
  <c r="BY10" i="4" a="1"/>
  <c r="BY10" i="4" s="1"/>
  <c r="BZ10" i="4" a="1"/>
  <c r="BZ10" i="4" s="1"/>
  <c r="BX10" i="4" s="1" a="1"/>
  <c r="BX10" i="4" s="1"/>
  <c r="BZ3" i="4" a="1"/>
  <c r="BZ3" i="4" s="1"/>
  <c r="BX3" i="4" s="1" a="1"/>
  <c r="BX3" i="4" s="1"/>
  <c r="BY3" i="4" a="1"/>
  <c r="BY3" i="4" s="1"/>
  <c r="A205" i="13"/>
  <c r="AX105" i="13"/>
  <c r="BO3" i="4"/>
  <c r="G3" i="4"/>
  <c r="BP9" i="69"/>
  <c r="AA9" i="69"/>
  <c r="BU9" i="72"/>
  <c r="AA9" i="72"/>
  <c r="A1200" i="13"/>
  <c r="AX1101" i="13"/>
  <c r="AX704" i="13"/>
  <c r="BO10" i="4"/>
  <c r="G10" i="4"/>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A98" i="13" l="1"/>
  <c r="H96" i="4"/>
  <c r="AX1200" i="13"/>
  <c r="A1299" i="13"/>
  <c r="AX205" i="13"/>
  <c r="A305" i="13"/>
  <c r="AX305" i="13" s="1"/>
  <c r="A1588" i="13"/>
  <c r="AX1489" i="13"/>
  <c r="AW3" i="4"/>
  <c r="AV5" i="13"/>
  <c r="Z1299" i="13"/>
  <c r="AY3" i="4"/>
  <c r="W17" i="22"/>
  <c r="Y17" i="22" s="1"/>
  <c r="V17" i="22"/>
  <c r="A312" i="13"/>
  <c r="AX312" i="13" s="1"/>
  <c r="AX212" i="13"/>
  <c r="Z198" i="13"/>
  <c r="Z1489" i="13"/>
  <c r="Z1291" i="13"/>
  <c r="Z197" i="13"/>
  <c r="Z196" i="13"/>
  <c r="H95" i="4"/>
  <c r="A97" i="13"/>
  <c r="AX1404" i="13"/>
  <c r="A1503" i="13"/>
  <c r="Z1490" i="13"/>
  <c r="Z1292" i="13"/>
  <c r="X3" i="72"/>
  <c r="X3" i="69"/>
  <c r="P3" i="69" s="1"/>
  <c r="Z1306" i="13"/>
  <c r="AW10" i="4"/>
  <c r="AV12" i="13"/>
  <c r="AY10" i="4"/>
  <c r="A1306" i="13"/>
  <c r="AX1207" i="13"/>
  <c r="Z1293" i="13"/>
  <c r="Z1491" i="13"/>
  <c r="AV296" i="13"/>
  <c r="DC96" i="4"/>
  <c r="X10" i="69"/>
  <c r="X10" i="72"/>
  <c r="BN96" i="4" a="1"/>
  <c r="CN96" i="4" a="1"/>
  <c r="CI96" i="4" a="1"/>
  <c r="CT96" i="4"/>
  <c r="AE96" i="4" a="1"/>
  <c r="AM96" i="4" a="1"/>
  <c r="CC96" i="4" a="1"/>
  <c r="CK96" i="4" a="1"/>
  <c r="BP96" i="4" a="1"/>
  <c r="CE96" i="4" a="1"/>
  <c r="CJ96" i="4" a="1"/>
  <c r="CM96" i="4" a="1"/>
  <c r="CL96" i="4" a="1"/>
  <c r="CH96" i="4"/>
  <c r="CB96" i="4" a="1"/>
  <c r="AK96" i="4" a="1"/>
  <c r="CQ96" i="4"/>
  <c r="CF96" i="4" a="1"/>
  <c r="AC96" i="4" a="1"/>
  <c r="CG96" i="4" a="1"/>
  <c r="CD96" i="4" a="1"/>
  <c r="CF95" i="4" a="1"/>
  <c r="CD95" i="4" a="1"/>
  <c r="CH95" i="4"/>
  <c r="AE95" i="4" a="1"/>
  <c r="AK95" i="4" a="1"/>
  <c r="CB95" i="4" a="1"/>
  <c r="CQ95" i="4"/>
  <c r="CM95" i="4" a="1"/>
  <c r="CC95" i="4" a="1"/>
  <c r="CT95" i="4"/>
  <c r="CI95" i="4" a="1"/>
  <c r="AC95" i="4" a="1"/>
  <c r="CJ95" i="4" a="1"/>
  <c r="BN95" i="4" a="1"/>
  <c r="CK95" i="4" a="1"/>
  <c r="CN95" i="4" a="1"/>
  <c r="BP95" i="4" a="1"/>
  <c r="AM95" i="4" a="1"/>
  <c r="CE95" i="4" a="1"/>
  <c r="CL95" i="4" a="1"/>
  <c r="CG95" i="4" a="1"/>
  <c r="CS96" i="4" a="1"/>
  <c r="CR96" i="4" a="1"/>
  <c r="CP96" i="4" a="1"/>
  <c r="CO96" i="4" a="1"/>
  <c r="CO95" i="4" a="1"/>
  <c r="CP95" i="4" a="1"/>
  <c r="CS95" i="4" a="1"/>
  <c r="CR95" i="4" a="1"/>
  <c r="CR95" i="4" l="1"/>
  <c r="CS95" i="4"/>
  <c r="CP95" i="4"/>
  <c r="CO95" i="4"/>
  <c r="CO96" i="4"/>
  <c r="CP96" i="4"/>
  <c r="CR96" i="4"/>
  <c r="CS96" i="4"/>
  <c r="CG95" i="4"/>
  <c r="CL95" i="4"/>
  <c r="CE95" i="4"/>
  <c r="AM95" i="4"/>
  <c r="BP95" i="4"/>
  <c r="CN95" i="4"/>
  <c r="CK95" i="4"/>
  <c r="BN95" i="4"/>
  <c r="CJ95" i="4"/>
  <c r="AC95" i="4"/>
  <c r="CI95" i="4"/>
  <c r="CC95" i="4"/>
  <c r="CM95" i="4"/>
  <c r="CB95" i="4"/>
  <c r="AK95" i="4"/>
  <c r="AE95" i="4"/>
  <c r="CD95" i="4"/>
  <c r="CF95" i="4"/>
  <c r="CD96" i="4"/>
  <c r="CG96" i="4"/>
  <c r="AC96" i="4"/>
  <c r="CF96" i="4"/>
  <c r="AK96" i="4"/>
  <c r="CB96" i="4"/>
  <c r="CL96" i="4"/>
  <c r="CM96" i="4"/>
  <c r="CJ96" i="4"/>
  <c r="CE96" i="4"/>
  <c r="BP96" i="4"/>
  <c r="CK96" i="4"/>
  <c r="CC96" i="4"/>
  <c r="AM96" i="4"/>
  <c r="AE96" i="4"/>
  <c r="CI96" i="4"/>
  <c r="CN96" i="4"/>
  <c r="BN96" i="4"/>
  <c r="A697" i="13"/>
  <c r="A1193" i="13"/>
  <c r="AX497" i="13"/>
  <c r="AX1094" i="13"/>
  <c r="A995" i="13"/>
  <c r="AX995" i="13" s="1"/>
  <c r="A597" i="13"/>
  <c r="AX97" i="13"/>
  <c r="A497" i="13"/>
  <c r="AX597" i="13"/>
  <c r="AX697" i="13"/>
  <c r="A896" i="13"/>
  <c r="AX896" i="13" s="1"/>
  <c r="A1094" i="13"/>
  <c r="A197" i="13"/>
  <c r="A796" i="13"/>
  <c r="AX796" i="13" s="1"/>
  <c r="A1687" i="13"/>
  <c r="AX1687" i="13" s="1"/>
  <c r="AX1588" i="13"/>
  <c r="BP10" i="69"/>
  <c r="AA10" i="69"/>
  <c r="AA10" i="72"/>
  <c r="BU10" i="72"/>
  <c r="BP3" i="69"/>
  <c r="N3" i="69" a="1"/>
  <c r="N3" i="69" s="1"/>
  <c r="AC3" i="69"/>
  <c r="AA3" i="69"/>
  <c r="AX3" i="69"/>
  <c r="AB3" i="69" a="1"/>
  <c r="AB3" i="69" s="1"/>
  <c r="Q3" i="69"/>
  <c r="AW3" i="69"/>
  <c r="AN3" i="69"/>
  <c r="Y3" i="69"/>
  <c r="K3" i="69" a="1"/>
  <c r="K3" i="69" s="1"/>
  <c r="AC3" i="72"/>
  <c r="Y3" i="72"/>
  <c r="BC3" i="72"/>
  <c r="BU3" i="72"/>
  <c r="K3" i="72" a="1"/>
  <c r="K3" i="72" s="1"/>
  <c r="AB3" i="72" a="1"/>
  <c r="AB3" i="72" s="1"/>
  <c r="N3" i="72" a="1"/>
  <c r="N3" i="72" s="1"/>
  <c r="P3" i="72"/>
  <c r="AS3" i="72"/>
  <c r="Q3" i="72"/>
  <c r="AA3" i="72"/>
  <c r="BB3" i="72"/>
  <c r="A1405" i="13"/>
  <c r="AX1306" i="13"/>
  <c r="A1398" i="13"/>
  <c r="AX1299" i="13"/>
  <c r="AX1503" i="13"/>
  <c r="A1602" i="13"/>
  <c r="AX1602" i="13" s="1"/>
  <c r="D95" i="1"/>
  <c r="A97" i="9"/>
  <c r="A95" i="20"/>
  <c r="C95" i="4"/>
  <c r="BC95" i="4" a="1"/>
  <c r="BC95" i="4" s="1"/>
  <c r="D95" i="4"/>
  <c r="BU95" i="4" a="1"/>
  <c r="BU95" i="4" s="1"/>
  <c r="BV95" i="4" a="1"/>
  <c r="BV95" i="4" s="1"/>
  <c r="D96" i="4"/>
  <c r="C96" i="4"/>
  <c r="D96" i="1"/>
  <c r="BV96" i="4" a="1"/>
  <c r="BV96" i="4" s="1"/>
  <c r="BU96" i="4" a="1"/>
  <c r="BU96" i="4" s="1"/>
  <c r="A98" i="9"/>
  <c r="BC96" i="4" a="1"/>
  <c r="BC96" i="4" s="1"/>
  <c r="AX98" i="13"/>
  <c r="A498" i="13"/>
  <c r="AX498" i="13" s="1"/>
  <c r="A598" i="13"/>
  <c r="A897" i="13"/>
  <c r="AX897" i="13" s="1"/>
  <c r="A797" i="13"/>
  <c r="AX797" i="13" s="1"/>
  <c r="AX698" i="13"/>
  <c r="A1194" i="13"/>
  <c r="A698" i="13"/>
  <c r="AX598" i="13"/>
  <c r="A996" i="13"/>
  <c r="AX996" i="13" s="1"/>
  <c r="AX1095" i="13"/>
  <c r="A198" i="13"/>
  <c r="A1095" i="13"/>
  <c r="AO96" i="4" a="1"/>
  <c r="AN96" i="4" a="1"/>
  <c r="B96" i="1" a="1"/>
  <c r="AB96" i="4" a="1"/>
  <c r="AA96" i="4" a="1"/>
  <c r="AF96" i="4" a="1"/>
  <c r="AG96" i="4" a="1"/>
  <c r="AB95" i="4" a="1"/>
  <c r="AA95" i="4" a="1"/>
  <c r="AI96" i="4" a="1"/>
  <c r="AJ96" i="4" a="1"/>
  <c r="AJ95" i="4" a="1"/>
  <c r="AI95" i="4" a="1"/>
  <c r="B95" i="1" a="1"/>
  <c r="AN95" i="4" a="1"/>
  <c r="AO95" i="4" a="1"/>
  <c r="AG95" i="4" a="1"/>
  <c r="AF95" i="4" a="1"/>
  <c r="BW95" i="4" l="1"/>
  <c r="AF95" i="4"/>
  <c r="AG95" i="4"/>
  <c r="AO95" i="4"/>
  <c r="AN95" i="4"/>
  <c r="B95" i="1"/>
  <c r="AI95" i="4"/>
  <c r="AJ95" i="4"/>
  <c r="AJ96" i="4"/>
  <c r="AI96" i="4"/>
  <c r="AA95" i="4"/>
  <c r="AB95" i="4"/>
  <c r="AG96" i="4"/>
  <c r="AF96" i="4"/>
  <c r="AA96" i="4"/>
  <c r="AB96" i="4"/>
  <c r="B96" i="1"/>
  <c r="AN96" i="4"/>
  <c r="AO96" i="4"/>
  <c r="BW96" i="4"/>
  <c r="AX1194" i="13"/>
  <c r="A1293" i="13"/>
  <c r="A1292" i="13"/>
  <c r="AX1193" i="13"/>
  <c r="AX197" i="13"/>
  <c r="A297" i="13"/>
  <c r="G96" i="4"/>
  <c r="BO96" i="4"/>
  <c r="AH3" i="72"/>
  <c r="AX1398" i="13"/>
  <c r="A1497" i="13"/>
  <c r="Z1502" i="13"/>
  <c r="BZ95" i="4" a="1"/>
  <c r="BZ95" i="4" s="1"/>
  <c r="BX95" i="4" s="1" a="1"/>
  <c r="BX95" i="4" s="1"/>
  <c r="BY95" i="4" a="1"/>
  <c r="BY95" i="4" s="1"/>
  <c r="BZ96" i="4" a="1"/>
  <c r="BZ96" i="4" s="1"/>
  <c r="BX96" i="4" s="1" a="1"/>
  <c r="BX96" i="4" s="1"/>
  <c r="BY96" i="4" a="1"/>
  <c r="BY96" i="4" s="1"/>
  <c r="G95" i="4"/>
  <c r="BO95" i="4"/>
  <c r="A1504" i="13"/>
  <c r="AX1405" i="13"/>
  <c r="A298" i="13"/>
  <c r="AX198" i="13"/>
  <c r="X96" i="72" l="1"/>
  <c r="X96" i="69"/>
  <c r="A1391" i="13"/>
  <c r="AX1292" i="13"/>
  <c r="A1596" i="13"/>
  <c r="AX1596" i="13" s="1"/>
  <c r="AX1497" i="13"/>
  <c r="AV1497" i="13"/>
  <c r="AV97" i="13"/>
  <c r="Z1391" i="13"/>
  <c r="AY95" i="4"/>
  <c r="AW95" i="4"/>
  <c r="AY96" i="4"/>
  <c r="AW96" i="4"/>
  <c r="AV98" i="13"/>
  <c r="Z1392" i="13"/>
  <c r="AX298" i="13"/>
  <c r="A398" i="13"/>
  <c r="AX398" i="13" s="1"/>
  <c r="AX1293" i="13"/>
  <c r="A1392" i="13"/>
  <c r="X95" i="69"/>
  <c r="X95" i="72"/>
  <c r="AX297" i="13"/>
  <c r="A397" i="13"/>
  <c r="AX397" i="13" s="1"/>
  <c r="AX1504" i="13"/>
  <c r="A1603" i="13"/>
  <c r="AX1603" i="13" s="1"/>
  <c r="S8" i="4"/>
  <c r="Z1602" i="13"/>
  <c r="BU95" i="72" l="1"/>
  <c r="AA95" i="72"/>
  <c r="AA95" i="69"/>
  <c r="BP95" i="69"/>
  <c r="A1490" i="13"/>
  <c r="AX1391" i="13"/>
  <c r="A1491" i="13"/>
  <c r="AX1392" i="13"/>
  <c r="BP96" i="69"/>
  <c r="AA96" i="69"/>
  <c r="AA96" i="72"/>
  <c r="BU96" i="72"/>
  <c r="AX1490" i="13" l="1"/>
  <c r="A1589" i="13"/>
  <c r="A1590" i="13"/>
  <c r="AX1491" i="13"/>
  <c r="A1689" i="13" l="1"/>
  <c r="AX1689" i="13" s="1"/>
  <c r="AX1590" i="13"/>
  <c r="A1688" i="13"/>
  <c r="AX1688" i="13" s="1"/>
  <c r="AX1589" i="13"/>
  <c r="Z3" i="69" l="1"/>
  <c r="Z3" i="72"/>
  <c r="A6" i="13" l="1"/>
  <c r="H4" i="4"/>
  <c r="Z747" i="13"/>
  <c r="Z505" i="13"/>
  <c r="CG4" i="4" a="1"/>
  <c r="CE4" i="4" a="1"/>
  <c r="CQ4" i="4"/>
  <c r="CB4" i="4" a="1"/>
  <c r="BP4" i="4" a="1"/>
  <c r="CT4" i="4"/>
  <c r="CC4" i="4" a="1"/>
  <c r="CI4" i="4" a="1"/>
  <c r="CM4" i="4" a="1"/>
  <c r="AE4" i="4" a="1"/>
  <c r="AM4" i="4" a="1"/>
  <c r="CK4" i="4" a="1"/>
  <c r="AK4" i="4" a="1"/>
  <c r="BN4" i="4" a="1"/>
  <c r="CF4" i="4" a="1"/>
  <c r="AC4" i="4" a="1"/>
  <c r="CD4" i="4" a="1"/>
  <c r="CL4" i="4" a="1"/>
  <c r="CJ4" i="4" a="1"/>
  <c r="CN4" i="4" a="1"/>
  <c r="CH4" i="4"/>
  <c r="CP4" i="4" a="1"/>
  <c r="CO4" i="4" a="1"/>
  <c r="CR4" i="4" a="1"/>
  <c r="CS4" i="4" a="1"/>
  <c r="CS4" i="4" l="1"/>
  <c r="CR4" i="4"/>
  <c r="CO4" i="4"/>
  <c r="CP4" i="4"/>
  <c r="CN4" i="4"/>
  <c r="CJ4" i="4"/>
  <c r="CL4" i="4"/>
  <c r="CD4" i="4"/>
  <c r="AC4" i="4"/>
  <c r="CF4" i="4"/>
  <c r="BN4" i="4"/>
  <c r="AK4" i="4"/>
  <c r="CK4" i="4"/>
  <c r="AM4" i="4"/>
  <c r="AE4" i="4"/>
  <c r="CM4" i="4"/>
  <c r="CI4" i="4"/>
  <c r="CC4" i="4"/>
  <c r="BP4" i="4"/>
  <c r="CB4" i="4"/>
  <c r="CE4" i="4"/>
  <c r="CG4" i="4"/>
  <c r="H58" i="4"/>
  <c r="A60" i="13"/>
  <c r="DC47" i="4"/>
  <c r="AV247" i="13"/>
  <c r="D4" i="4"/>
  <c r="BV4" i="4" a="1"/>
  <c r="BV4" i="4" s="1"/>
  <c r="C4" i="4"/>
  <c r="BU4" i="4" a="1"/>
  <c r="BU4" i="4" s="1"/>
  <c r="BC4" i="4" a="1"/>
  <c r="BC4" i="4" s="1"/>
  <c r="A6" i="9"/>
  <c r="A4" i="20"/>
  <c r="K4" i="4"/>
  <c r="D4" i="1"/>
  <c r="A606" i="13"/>
  <c r="A904" i="13"/>
  <c r="AX904" i="13" s="1"/>
  <c r="AX1003" i="13"/>
  <c r="A1102" i="13"/>
  <c r="A406" i="13"/>
  <c r="A506" i="13"/>
  <c r="A705" i="13"/>
  <c r="A106" i="13"/>
  <c r="A1003" i="13"/>
  <c r="A805" i="13"/>
  <c r="AX805" i="13" s="1"/>
  <c r="AX606" i="13"/>
  <c r="AX506" i="13"/>
  <c r="AX6" i="13"/>
  <c r="AX406"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E7" i="13"/>
  <c r="B107" i="13"/>
  <c r="Z1102" i="13"/>
  <c r="Z1003" i="13"/>
  <c r="Z904" i="13"/>
  <c r="Z805" i="13"/>
  <c r="Z606" i="13"/>
  <c r="Z506" i="13"/>
  <c r="Z406" i="13"/>
  <c r="Z306" i="13"/>
  <c r="Z6" i="13"/>
  <c r="Z1101" i="13"/>
  <c r="Z1002" i="13"/>
  <c r="Z903" i="13"/>
  <c r="Z804" i="13"/>
  <c r="Z605" i="13"/>
  <c r="Z405" i="13"/>
  <c r="Z305" i="13"/>
  <c r="Z5" i="13"/>
  <c r="AO4" i="4" a="1"/>
  <c r="AN4" i="4" a="1"/>
  <c r="AG4" i="4" a="1"/>
  <c r="AF4" i="4" a="1"/>
  <c r="AB4" i="4" a="1"/>
  <c r="AA4" i="4" a="1"/>
  <c r="AJ4" i="4" a="1"/>
  <c r="AI4" i="4" a="1"/>
  <c r="CC58" i="4" a="1"/>
  <c r="AE58" i="4" a="1"/>
  <c r="BN58" i="4" a="1"/>
  <c r="CG58" i="4" a="1"/>
  <c r="CF58" i="4" a="1"/>
  <c r="AM58" i="4" a="1"/>
  <c r="CQ58" i="4"/>
  <c r="CD58" i="4" a="1"/>
  <c r="CL58" i="4" a="1"/>
  <c r="CN58" i="4" a="1"/>
  <c r="CE58" i="4" a="1"/>
  <c r="CB58" i="4" a="1"/>
  <c r="AC58" i="4" a="1"/>
  <c r="CH58" i="4"/>
  <c r="BP58" i="4" a="1"/>
  <c r="AK58" i="4" a="1"/>
  <c r="CM58" i="4" a="1"/>
  <c r="CT58" i="4"/>
  <c r="CK58" i="4" a="1"/>
  <c r="CI58" i="4" a="1"/>
  <c r="CJ58" i="4" a="1"/>
  <c r="B4" i="1" a="1"/>
  <c r="CO58" i="4" a="1"/>
  <c r="CP58" i="4" a="1"/>
  <c r="CS58" i="4" a="1"/>
  <c r="CR58" i="4" a="1"/>
  <c r="Z7" i="13" l="1"/>
  <c r="BW4" i="4"/>
  <c r="CR58" i="4"/>
  <c r="CS58" i="4"/>
  <c r="CP58" i="4"/>
  <c r="CO58" i="4"/>
  <c r="B4" i="1"/>
  <c r="CJ58" i="4"/>
  <c r="CI58" i="4"/>
  <c r="CK58" i="4"/>
  <c r="CM58" i="4"/>
  <c r="AK58" i="4"/>
  <c r="BP58" i="4"/>
  <c r="AC58" i="4"/>
  <c r="CB58" i="4"/>
  <c r="CE58" i="4"/>
  <c r="CN58" i="4"/>
  <c r="CL58" i="4"/>
  <c r="CD58" i="4"/>
  <c r="AM58" i="4"/>
  <c r="CF58" i="4"/>
  <c r="CG58" i="4"/>
  <c r="BN58" i="4"/>
  <c r="AE58" i="4"/>
  <c r="CC58" i="4"/>
  <c r="AI4" i="4"/>
  <c r="AJ4" i="4"/>
  <c r="AA4" i="4"/>
  <c r="AB4" i="4"/>
  <c r="AF4" i="4"/>
  <c r="AG4" i="4"/>
  <c r="AN4" i="4"/>
  <c r="AO4" i="4"/>
  <c r="Z105" i="13"/>
  <c r="A14" i="13"/>
  <c r="H12" i="4"/>
  <c r="Z1211" i="13"/>
  <c r="Z1409" i="13"/>
  <c r="DC16" i="4"/>
  <c r="AV216" i="13"/>
  <c r="H17" i="4"/>
  <c r="A19" i="13"/>
  <c r="Z123" i="13"/>
  <c r="A27" i="13"/>
  <c r="H25" i="4"/>
  <c r="Z131" i="13"/>
  <c r="Z1429" i="13"/>
  <c r="Z1231" i="13"/>
  <c r="DC36" i="4"/>
  <c r="AV236" i="13"/>
  <c r="H8" i="4"/>
  <c r="A10" i="13"/>
  <c r="Z143" i="13"/>
  <c r="Z147" i="13"/>
  <c r="Z1248" i="13"/>
  <c r="Z1446" i="13"/>
  <c r="AV254" i="13"/>
  <c r="DC54" i="4"/>
  <c r="A56" i="13"/>
  <c r="H54" i="4"/>
  <c r="A61" i="13"/>
  <c r="H59" i="4"/>
  <c r="Z166" i="13"/>
  <c r="Z1268" i="13"/>
  <c r="Z1466" i="13"/>
  <c r="AV275" i="13"/>
  <c r="DC75" i="4"/>
  <c r="H80" i="4"/>
  <c r="A82" i="13"/>
  <c r="Z177" i="13"/>
  <c r="Z1472" i="13"/>
  <c r="Z1274" i="13"/>
  <c r="DC81" i="4"/>
  <c r="AV281" i="13"/>
  <c r="H83" i="4"/>
  <c r="A85" i="13"/>
  <c r="Z192" i="13"/>
  <c r="B105" i="13"/>
  <c r="A3" i="4"/>
  <c r="C3" i="1"/>
  <c r="V3" i="69"/>
  <c r="V3" i="72"/>
  <c r="A8" i="13"/>
  <c r="H6" i="4"/>
  <c r="T7" i="4"/>
  <c r="AV209" i="13"/>
  <c r="DC7" i="4"/>
  <c r="Z118" i="13"/>
  <c r="E6" i="13"/>
  <c r="BS4" i="4"/>
  <c r="T5" i="4"/>
  <c r="DC5" i="4"/>
  <c r="AV207" i="13"/>
  <c r="Z136" i="13"/>
  <c r="Z1236" i="13"/>
  <c r="Z1434" i="13"/>
  <c r="AV241" i="13"/>
  <c r="DC41" i="4"/>
  <c r="A48" i="13"/>
  <c r="H46" i="4"/>
  <c r="Z1438" i="13"/>
  <c r="Z1240" i="13"/>
  <c r="AV245" i="13"/>
  <c r="DC45" i="4"/>
  <c r="H62" i="4"/>
  <c r="A64" i="13"/>
  <c r="E51" i="13"/>
  <c r="E49" i="13"/>
  <c r="Z153" i="13"/>
  <c r="Z1253" i="13"/>
  <c r="Z1451" i="13"/>
  <c r="AV259" i="13"/>
  <c r="DC59" i="4"/>
  <c r="Z1456" i="13"/>
  <c r="Z1258" i="13"/>
  <c r="AV267" i="13"/>
  <c r="DC67" i="4"/>
  <c r="H72" i="4"/>
  <c r="A74" i="13"/>
  <c r="Z173" i="13"/>
  <c r="Z1282" i="13"/>
  <c r="Z1480" i="13"/>
  <c r="DC70" i="4"/>
  <c r="AV270" i="13"/>
  <c r="H78" i="4"/>
  <c r="A80" i="13"/>
  <c r="Z179" i="13"/>
  <c r="Z1482" i="13"/>
  <c r="Z1284" i="13"/>
  <c r="DC90" i="4"/>
  <c r="AV290" i="13"/>
  <c r="A84" i="13"/>
  <c r="H82" i="4"/>
  <c r="A49" i="13"/>
  <c r="H47" i="4"/>
  <c r="A1201" i="13"/>
  <c r="AX1102" i="13"/>
  <c r="Z126" i="13"/>
  <c r="Z108" i="13"/>
  <c r="AV229" i="13"/>
  <c r="DC29" i="4"/>
  <c r="Z106" i="13"/>
  <c r="Z121" i="13"/>
  <c r="Z129" i="13"/>
  <c r="Z1427" i="13"/>
  <c r="Z1229" i="13"/>
  <c r="AV234" i="13"/>
  <c r="DC34" i="4"/>
  <c r="A37" i="13"/>
  <c r="H35" i="4"/>
  <c r="Z141" i="13"/>
  <c r="Z145" i="13"/>
  <c r="Z1444" i="13"/>
  <c r="Z1246" i="13"/>
  <c r="AV252" i="13"/>
  <c r="DC52" i="4"/>
  <c r="H52" i="4"/>
  <c r="A54" i="13"/>
  <c r="Z158" i="13"/>
  <c r="Z163" i="13"/>
  <c r="Z1462" i="13"/>
  <c r="Z1264" i="13"/>
  <c r="AV268" i="13"/>
  <c r="DC68" i="4"/>
  <c r="A75" i="13"/>
  <c r="H73" i="4"/>
  <c r="Z187" i="13"/>
  <c r="Z1469" i="13"/>
  <c r="Z1271" i="13"/>
  <c r="AV293" i="13"/>
  <c r="DC93" i="4"/>
  <c r="H79" i="4"/>
  <c r="A81" i="13"/>
  <c r="Z189" i="13"/>
  <c r="Z1488" i="13"/>
  <c r="Z1290" i="13"/>
  <c r="Z125" i="13"/>
  <c r="Z1224" i="13"/>
  <c r="Z1422" i="13"/>
  <c r="A32" i="13"/>
  <c r="H30" i="4"/>
  <c r="AV214" i="13"/>
  <c r="DC14" i="4"/>
  <c r="A17" i="13"/>
  <c r="H15" i="4"/>
  <c r="Z206" i="13"/>
  <c r="I4" i="4"/>
  <c r="Z1412" i="13"/>
  <c r="Z1214" i="13"/>
  <c r="AV219" i="13"/>
  <c r="DC19" i="4"/>
  <c r="A22" i="13"/>
  <c r="H20" i="4"/>
  <c r="E22" i="13"/>
  <c r="D7" i="5"/>
  <c r="D8" i="5" s="1"/>
  <c r="Z1420" i="13"/>
  <c r="Z1222" i="13"/>
  <c r="DC27" i="4"/>
  <c r="AV227" i="13"/>
  <c r="H28" i="4"/>
  <c r="A30" i="13"/>
  <c r="Z134" i="13"/>
  <c r="Z1205" i="13"/>
  <c r="Z1403" i="13"/>
  <c r="AV239" i="13"/>
  <c r="DC39" i="4"/>
  <c r="H40" i="4"/>
  <c r="A42" i="13"/>
  <c r="Z1441" i="13"/>
  <c r="Z1243" i="13"/>
  <c r="AV243" i="13"/>
  <c r="DC43" i="4"/>
  <c r="A46" i="13"/>
  <c r="H44" i="4"/>
  <c r="Z151" i="13"/>
  <c r="Z1449" i="13"/>
  <c r="Z1251" i="13"/>
  <c r="DC37" i="4"/>
  <c r="AV237" i="13"/>
  <c r="H57" i="4"/>
  <c r="A59" i="13"/>
  <c r="Z1256" i="13"/>
  <c r="Z1454" i="13"/>
  <c r="DC65" i="4"/>
  <c r="AV265" i="13"/>
  <c r="H65" i="4"/>
  <c r="A67" i="13"/>
  <c r="Z169" i="13"/>
  <c r="Z1475" i="13"/>
  <c r="Z1277" i="13"/>
  <c r="DC91" i="4"/>
  <c r="AV291" i="13"/>
  <c r="A70" i="13"/>
  <c r="H68" i="4"/>
  <c r="Z176" i="13"/>
  <c r="Z1280" i="13"/>
  <c r="Z1478" i="13"/>
  <c r="AV286" i="13"/>
  <c r="DC86" i="4"/>
  <c r="H88" i="4"/>
  <c r="A90" i="13"/>
  <c r="Z195" i="13"/>
  <c r="AV248" i="13"/>
  <c r="DC48" i="4"/>
  <c r="Z1418" i="13"/>
  <c r="Z1220" i="13"/>
  <c r="Z1218" i="13"/>
  <c r="Z1416" i="13"/>
  <c r="Z1399" i="13"/>
  <c r="Z1201" i="13"/>
  <c r="Z1414" i="13"/>
  <c r="Z1216" i="13"/>
  <c r="AV221" i="13"/>
  <c r="DC21" i="4"/>
  <c r="H22" i="4"/>
  <c r="A24" i="13"/>
  <c r="Z704" i="13"/>
  <c r="M3" i="4"/>
  <c r="D3" i="9" s="1"/>
  <c r="AV212" i="13"/>
  <c r="DC10" i="4"/>
  <c r="DC12" i="4"/>
  <c r="H13" i="4"/>
  <c r="A15" i="13"/>
  <c r="Z1219" i="13"/>
  <c r="Z1417" i="13"/>
  <c r="Z127" i="13"/>
  <c r="Z1227" i="13"/>
  <c r="Z1425" i="13"/>
  <c r="AV232" i="13"/>
  <c r="DC32" i="4"/>
  <c r="H33" i="4"/>
  <c r="A35" i="13"/>
  <c r="Z110" i="13"/>
  <c r="Z1457" i="13"/>
  <c r="Z1259" i="13"/>
  <c r="DC49" i="4"/>
  <c r="AV249" i="13"/>
  <c r="H50" i="4"/>
  <c r="A52" i="13"/>
  <c r="Z156" i="13"/>
  <c r="Z161" i="13"/>
  <c r="Z1467" i="13"/>
  <c r="Z1269" i="13"/>
  <c r="DC71" i="4"/>
  <c r="AV271" i="13"/>
  <c r="A68" i="13"/>
  <c r="H66" i="4"/>
  <c r="Z182" i="13"/>
  <c r="Z1275" i="13"/>
  <c r="Z1473" i="13"/>
  <c r="AV278" i="13"/>
  <c r="DC78" i="4"/>
  <c r="A93" i="13"/>
  <c r="H91" i="4"/>
  <c r="Z185" i="13"/>
  <c r="Z1477" i="13"/>
  <c r="Z1279" i="13"/>
  <c r="DC94" i="4"/>
  <c r="AV294" i="13"/>
  <c r="AO115" i="69"/>
  <c r="AU115" i="72"/>
  <c r="Z188" i="13"/>
  <c r="Z1401" i="13"/>
  <c r="Z1203" i="13"/>
  <c r="A9" i="13"/>
  <c r="H7" i="4"/>
  <c r="Z116" i="13"/>
  <c r="Z1209" i="13"/>
  <c r="Z1407" i="13"/>
  <c r="A7" i="13"/>
  <c r="H5" i="4"/>
  <c r="M10" i="4"/>
  <c r="AZ10" i="4"/>
  <c r="I9" i="4"/>
  <c r="I10" i="4"/>
  <c r="Z9" i="72"/>
  <c r="K9" i="4"/>
  <c r="K10" i="4"/>
  <c r="M9" i="4"/>
  <c r="AZ9" i="4"/>
  <c r="BS10" i="4"/>
  <c r="A9" i="4"/>
  <c r="V9" i="69"/>
  <c r="V10" i="69"/>
  <c r="V9" i="72"/>
  <c r="Z10" i="72"/>
  <c r="Z9" i="69"/>
  <c r="C10" i="1"/>
  <c r="V10" i="72"/>
  <c r="C9" i="1"/>
  <c r="Z10" i="69"/>
  <c r="BS9" i="4"/>
  <c r="A10" i="4"/>
  <c r="Z114" i="13"/>
  <c r="Z1204" i="13"/>
  <c r="Z1402" i="13"/>
  <c r="Z119" i="13"/>
  <c r="Z109" i="13"/>
  <c r="Z1410" i="13"/>
  <c r="Z1212" i="13"/>
  <c r="AV217" i="13"/>
  <c r="DC17" i="4"/>
  <c r="A20" i="13"/>
  <c r="H18" i="4"/>
  <c r="Z124" i="13"/>
  <c r="DC25" i="4"/>
  <c r="AV225" i="13"/>
  <c r="A28" i="13"/>
  <c r="H26" i="4"/>
  <c r="Z132" i="13"/>
  <c r="Z1232" i="13"/>
  <c r="Z1430" i="13"/>
  <c r="AV238" i="13"/>
  <c r="DC38" i="4"/>
  <c r="A40" i="13"/>
  <c r="H38" i="4"/>
  <c r="Z148" i="13"/>
  <c r="A44" i="13"/>
  <c r="H42" i="4"/>
  <c r="Z164" i="13"/>
  <c r="Z1447" i="13"/>
  <c r="Z1249" i="13"/>
  <c r="DC55" i="4"/>
  <c r="AV255" i="13"/>
  <c r="A38" i="13"/>
  <c r="H36" i="4"/>
  <c r="AV260" i="13"/>
  <c r="DC60" i="4"/>
  <c r="H63" i="4"/>
  <c r="A65" i="13"/>
  <c r="Z174" i="13"/>
  <c r="Z1270" i="13"/>
  <c r="Z1468" i="13"/>
  <c r="AV272" i="13"/>
  <c r="DC72" i="4"/>
  <c r="H89" i="4"/>
  <c r="A91" i="13"/>
  <c r="Z180" i="13"/>
  <c r="Z1474" i="13"/>
  <c r="Z1276" i="13"/>
  <c r="AV283" i="13"/>
  <c r="DC83" i="4"/>
  <c r="A86" i="13"/>
  <c r="H84" i="4"/>
  <c r="Z184" i="13"/>
  <c r="Z1283" i="13"/>
  <c r="Z1481" i="13"/>
  <c r="Z157" i="13"/>
  <c r="Z115" i="13"/>
  <c r="DC20" i="4"/>
  <c r="AV220" i="13"/>
  <c r="Z1400" i="13"/>
  <c r="Z1202" i="13"/>
  <c r="T6" i="4"/>
  <c r="AV208" i="13"/>
  <c r="DC6" i="4"/>
  <c r="A13" i="13"/>
  <c r="H11" i="4"/>
  <c r="Z117" i="13"/>
  <c r="Z1415" i="13"/>
  <c r="Z1217" i="13"/>
  <c r="DC22" i="4"/>
  <c r="AV222" i="13"/>
  <c r="Z1225" i="13"/>
  <c r="Z1423" i="13"/>
  <c r="DC30" i="4"/>
  <c r="AV230" i="13"/>
  <c r="A33" i="13"/>
  <c r="H31" i="4"/>
  <c r="Z137" i="13"/>
  <c r="Z1435" i="13"/>
  <c r="Z1237" i="13"/>
  <c r="DC42" i="4"/>
  <c r="AV242" i="13"/>
  <c r="Z1439" i="13"/>
  <c r="Z1241" i="13"/>
  <c r="AV246" i="13"/>
  <c r="DC46" i="4"/>
  <c r="A50" i="13"/>
  <c r="H48" i="4"/>
  <c r="E50" i="13"/>
  <c r="E52" i="13"/>
  <c r="Z154" i="13"/>
  <c r="Z1254" i="13"/>
  <c r="Z1452" i="13"/>
  <c r="Z1262" i="13"/>
  <c r="Z1460" i="13"/>
  <c r="DC66" i="4"/>
  <c r="AV266" i="13"/>
  <c r="H69" i="4"/>
  <c r="A71" i="13"/>
  <c r="Z175" i="13"/>
  <c r="Z1463" i="13"/>
  <c r="Z1265" i="13"/>
  <c r="DC77" i="4"/>
  <c r="AV277" i="13"/>
  <c r="A78" i="13"/>
  <c r="H76" i="4"/>
  <c r="Z181" i="13"/>
  <c r="Z1483" i="13"/>
  <c r="Z1285" i="13"/>
  <c r="AV292" i="13"/>
  <c r="DC92" i="4"/>
  <c r="H92" i="4"/>
  <c r="A94" i="13"/>
  <c r="Z1252" i="13"/>
  <c r="Z1450" i="13"/>
  <c r="Z705" i="13"/>
  <c r="M4" i="4"/>
  <c r="A23" i="13"/>
  <c r="H21" i="4"/>
  <c r="Z205" i="13"/>
  <c r="I3" i="4"/>
  <c r="Z107" i="13"/>
  <c r="Z1210" i="13"/>
  <c r="Z1408" i="13"/>
  <c r="DC15" i="4"/>
  <c r="AV215" i="13"/>
  <c r="H16" i="4"/>
  <c r="A18" i="13"/>
  <c r="Z122" i="13"/>
  <c r="A26" i="13"/>
  <c r="H24" i="4"/>
  <c r="Z130" i="13"/>
  <c r="Z1230" i="13"/>
  <c r="Z1428" i="13"/>
  <c r="DC35" i="4"/>
  <c r="AV235" i="13"/>
  <c r="A39" i="13"/>
  <c r="H37" i="4"/>
  <c r="Z142" i="13"/>
  <c r="Z146" i="13"/>
  <c r="Z1445" i="13"/>
  <c r="Z1247" i="13"/>
  <c r="DC53" i="4"/>
  <c r="AV253" i="13"/>
  <c r="H53" i="4"/>
  <c r="A55" i="13"/>
  <c r="Z159" i="13"/>
  <c r="Z167" i="13"/>
  <c r="Z1461" i="13"/>
  <c r="Z1263" i="13"/>
  <c r="DC73" i="4"/>
  <c r="AV273" i="13"/>
  <c r="H70" i="4"/>
  <c r="A72" i="13"/>
  <c r="Z170" i="13"/>
  <c r="Z1486" i="13"/>
  <c r="Z1288" i="13"/>
  <c r="DC79" i="4"/>
  <c r="AV279" i="13"/>
  <c r="H81" i="4"/>
  <c r="A83" i="13"/>
  <c r="Z190" i="13"/>
  <c r="Z1215" i="13"/>
  <c r="Z1413" i="13"/>
  <c r="Z1421" i="13"/>
  <c r="Z1223" i="13"/>
  <c r="AV228" i="13"/>
  <c r="DC28" i="4"/>
  <c r="H29" i="4"/>
  <c r="A31" i="13"/>
  <c r="DC40" i="4"/>
  <c r="AV240" i="13"/>
  <c r="A43" i="13"/>
  <c r="H41" i="4"/>
  <c r="Z1239" i="13"/>
  <c r="Z1437" i="13"/>
  <c r="DC44" i="4"/>
  <c r="AV244" i="13"/>
  <c r="A47" i="13"/>
  <c r="H45" i="4"/>
  <c r="Z152" i="13"/>
  <c r="Z1233" i="13"/>
  <c r="Z1431" i="13"/>
  <c r="DC58" i="4"/>
  <c r="AV258" i="13"/>
  <c r="Z1260" i="13"/>
  <c r="Z1458" i="13"/>
  <c r="DC63" i="4"/>
  <c r="AV263" i="13"/>
  <c r="A66" i="13"/>
  <c r="H64" i="4"/>
  <c r="Z168" i="13"/>
  <c r="Z1484" i="13"/>
  <c r="Z1286" i="13"/>
  <c r="AV287" i="13"/>
  <c r="DC87" i="4"/>
  <c r="H75" i="4"/>
  <c r="A77" i="13"/>
  <c r="Z193" i="13"/>
  <c r="Z1281" i="13"/>
  <c r="Z1479" i="13"/>
  <c r="AV289" i="13"/>
  <c r="DC89" i="4"/>
  <c r="H90" i="4"/>
  <c r="A92" i="13"/>
  <c r="H86" i="4"/>
  <c r="A88" i="13"/>
  <c r="AV224" i="13"/>
  <c r="DC24" i="4"/>
  <c r="Z135" i="13"/>
  <c r="Z1433" i="13"/>
  <c r="Z1235" i="13"/>
  <c r="E5" i="13"/>
  <c r="D102" i="13" s="1"/>
  <c r="BS3" i="4"/>
  <c r="Z1200" i="13"/>
  <c r="Z1398" i="13"/>
  <c r="Z1406" i="13"/>
  <c r="Z1208" i="13"/>
  <c r="DC13" i="4"/>
  <c r="AV213" i="13"/>
  <c r="A16" i="13"/>
  <c r="H14" i="4"/>
  <c r="Z120" i="13"/>
  <c r="Z128" i="13"/>
  <c r="Z1228" i="13"/>
  <c r="Z1426" i="13"/>
  <c r="AV233" i="13"/>
  <c r="DC33" i="4"/>
  <c r="H34" i="4"/>
  <c r="A36" i="13"/>
  <c r="Z140" i="13"/>
  <c r="Z144" i="13"/>
  <c r="Z1245" i="13"/>
  <c r="Z1443" i="13"/>
  <c r="DC51" i="4"/>
  <c r="AV251" i="13"/>
  <c r="A53" i="13"/>
  <c r="H51" i="4"/>
  <c r="Z138" i="13"/>
  <c r="Z165" i="13"/>
  <c r="Z1464" i="13"/>
  <c r="Z1266" i="13"/>
  <c r="AV269" i="13"/>
  <c r="DC69" i="4"/>
  <c r="A73" i="13"/>
  <c r="H71" i="4"/>
  <c r="Z191" i="13"/>
  <c r="Z1273" i="13"/>
  <c r="Z1471" i="13"/>
  <c r="AV276" i="13"/>
  <c r="DC76" i="4"/>
  <c r="H77" i="4"/>
  <c r="A79" i="13"/>
  <c r="Z186" i="13"/>
  <c r="Z1289" i="13"/>
  <c r="Z1487" i="13"/>
  <c r="AV295" i="13"/>
  <c r="DC95" i="4"/>
  <c r="Z149" i="13"/>
  <c r="A206" i="13"/>
  <c r="AX106" i="13"/>
  <c r="Z113" i="13"/>
  <c r="Z1411" i="13"/>
  <c r="Z1213" i="13"/>
  <c r="DC18" i="4"/>
  <c r="AV218" i="13"/>
  <c r="H19" i="4"/>
  <c r="A21" i="13"/>
  <c r="Z1419" i="13"/>
  <c r="Z1221" i="13"/>
  <c r="AV226" i="13"/>
  <c r="DC26" i="4"/>
  <c r="H27" i="4"/>
  <c r="A29" i="13"/>
  <c r="Z133" i="13"/>
  <c r="Z1432" i="13"/>
  <c r="Z1234" i="13"/>
  <c r="AV210" i="13"/>
  <c r="DC8" i="4"/>
  <c r="T8" i="4"/>
  <c r="H39" i="4"/>
  <c r="A41" i="13"/>
  <c r="H43" i="4"/>
  <c r="A45" i="13"/>
  <c r="Z150" i="13"/>
  <c r="Z1448" i="13"/>
  <c r="Z1250" i="13"/>
  <c r="AV256" i="13"/>
  <c r="DC56" i="4"/>
  <c r="A58" i="13"/>
  <c r="H56" i="4"/>
  <c r="Z1255" i="13"/>
  <c r="Z1453" i="13"/>
  <c r="DC61" i="4"/>
  <c r="AV261" i="13"/>
  <c r="H61" i="4"/>
  <c r="A63" i="13"/>
  <c r="Z171" i="13"/>
  <c r="Z1465" i="13"/>
  <c r="Z1267" i="13"/>
  <c r="DC82" i="4"/>
  <c r="AV282" i="13"/>
  <c r="A87" i="13"/>
  <c r="H85" i="4"/>
  <c r="Z178" i="13"/>
  <c r="Z1278" i="13"/>
  <c r="Z1476" i="13"/>
  <c r="DC85" i="4"/>
  <c r="AV285" i="13"/>
  <c r="H87" i="4"/>
  <c r="A89" i="13"/>
  <c r="Z194" i="13"/>
  <c r="DC88" i="4"/>
  <c r="AV288" i="13"/>
  <c r="Z1442" i="13"/>
  <c r="Z1244" i="13"/>
  <c r="AX705" i="13"/>
  <c r="B106" i="13"/>
  <c r="A4" i="4"/>
  <c r="AV223" i="13"/>
  <c r="DC23" i="4"/>
  <c r="Z1424" i="13"/>
  <c r="Z1226" i="13"/>
  <c r="AV231" i="13"/>
  <c r="DC31" i="4"/>
  <c r="H32" i="4"/>
  <c r="A34" i="13"/>
  <c r="Z139" i="13"/>
  <c r="Z1436" i="13"/>
  <c r="Z1238" i="13"/>
  <c r="Z1440" i="13"/>
  <c r="Z1242" i="13"/>
  <c r="AV264" i="13"/>
  <c r="DC64" i="4"/>
  <c r="A51" i="13"/>
  <c r="H49" i="4"/>
  <c r="Z155" i="13"/>
  <c r="Z160" i="13"/>
  <c r="Z1261" i="13"/>
  <c r="Z1459" i="13"/>
  <c r="DC74" i="4"/>
  <c r="AV274" i="13"/>
  <c r="A69" i="13"/>
  <c r="H67" i="4"/>
  <c r="Z172" i="13"/>
  <c r="Z1272" i="13"/>
  <c r="Z1470" i="13"/>
  <c r="AV280" i="13"/>
  <c r="DC80" i="4"/>
  <c r="H74" i="4"/>
  <c r="A76" i="13"/>
  <c r="Z183" i="13"/>
  <c r="Z1485" i="13"/>
  <c r="Z1287" i="13"/>
  <c r="DC84" i="4"/>
  <c r="AV284" i="13"/>
  <c r="H93" i="4"/>
  <c r="A95" i="13"/>
  <c r="DC57" i="4"/>
  <c r="AV257" i="13"/>
  <c r="C4" i="1"/>
  <c r="A60" i="9"/>
  <c r="BC58" i="4" a="1"/>
  <c r="BC58" i="4" s="1"/>
  <c r="BU58" i="4" a="1"/>
  <c r="BU58" i="4" s="1"/>
  <c r="D58" i="1"/>
  <c r="C58" i="4"/>
  <c r="S90" i="22"/>
  <c r="BV58" i="4" a="1"/>
  <c r="BV58" i="4" s="1"/>
  <c r="D58" i="4"/>
  <c r="A58" i="20"/>
  <c r="BO4" i="4"/>
  <c r="G4" i="4"/>
  <c r="H6" i="9"/>
  <c r="BY4" i="4" a="1"/>
  <c r="BY4" i="4" s="1"/>
  <c r="BZ4" i="4" a="1"/>
  <c r="BZ4" i="4" s="1"/>
  <c r="BX4" i="4" s="1" a="1"/>
  <c r="BX4" i="4" s="1"/>
  <c r="A859" i="13"/>
  <c r="AX859" i="13" s="1"/>
  <c r="A560" i="13"/>
  <c r="A460" i="13"/>
  <c r="A1156" i="13"/>
  <c r="A1057" i="13"/>
  <c r="AX560" i="13"/>
  <c r="A958" i="13"/>
  <c r="AX958" i="13" s="1"/>
  <c r="A160" i="13"/>
  <c r="AX60" i="13"/>
  <c r="A759" i="13"/>
  <c r="AX759" i="13" s="1"/>
  <c r="AX1057" i="13"/>
  <c r="A660" i="13"/>
  <c r="AX660" i="13"/>
  <c r="AX460" i="13"/>
  <c r="AZ4" i="4"/>
  <c r="AZ3" i="4"/>
  <c r="Z462" i="13"/>
  <c r="Z761" i="13"/>
  <c r="B162" i="13"/>
  <c r="Z662" i="13"/>
  <c r="E62" i="13"/>
  <c r="Z860" i="13"/>
  <c r="Z62" i="13"/>
  <c r="Z960" i="13"/>
  <c r="Z1059" i="13"/>
  <c r="Z262" i="13"/>
  <c r="Z1158" i="13"/>
  <c r="Z362" i="13"/>
  <c r="Z562" i="13"/>
  <c r="CB79" i="4" a="1"/>
  <c r="CQ79" i="4"/>
  <c r="CJ79" i="4" a="1"/>
  <c r="AE79" i="4" a="1"/>
  <c r="CH79" i="4"/>
  <c r="CD79" i="4" a="1"/>
  <c r="CF79" i="4" a="1"/>
  <c r="CK79" i="4" a="1"/>
  <c r="BP79" i="4" a="1"/>
  <c r="CL79" i="4" a="1"/>
  <c r="AK79" i="4" a="1"/>
  <c r="CG79" i="4" a="1"/>
  <c r="AM79" i="4" a="1"/>
  <c r="CE79" i="4" a="1"/>
  <c r="BN79" i="4" a="1"/>
  <c r="CM79" i="4" a="1"/>
  <c r="CN79" i="4" a="1"/>
  <c r="CT79" i="4"/>
  <c r="CI79" i="4" a="1"/>
  <c r="CC79" i="4" a="1"/>
  <c r="AC79" i="4" a="1"/>
  <c r="CF14" i="4" a="1"/>
  <c r="AK14" i="4" a="1"/>
  <c r="CT14" i="4"/>
  <c r="CG14" i="4" a="1"/>
  <c r="CN14" i="4" a="1"/>
  <c r="AM14" i="4" a="1"/>
  <c r="BP14" i="4" a="1"/>
  <c r="CL14" i="4" a="1"/>
  <c r="CJ14" i="4" a="1"/>
  <c r="CM14" i="4" a="1"/>
  <c r="CC14" i="4" a="1"/>
  <c r="CH14" i="4"/>
  <c r="AE14" i="4" a="1"/>
  <c r="CK14" i="4" a="1"/>
  <c r="CI14" i="4" a="1"/>
  <c r="BN14" i="4" a="1"/>
  <c r="CE14" i="4" a="1"/>
  <c r="AC14" i="4" a="1"/>
  <c r="CB14" i="4" a="1"/>
  <c r="CD14" i="4" a="1"/>
  <c r="CQ14" i="4"/>
  <c r="CT43" i="4"/>
  <c r="CM43" i="4" a="1"/>
  <c r="CH43" i="4"/>
  <c r="CE43" i="4" a="1"/>
  <c r="BP43" i="4" a="1"/>
  <c r="CD43" i="4" a="1"/>
  <c r="AM43" i="4" a="1"/>
  <c r="CB43" i="4" a="1"/>
  <c r="CJ43" i="4" a="1"/>
  <c r="CI43" i="4" a="1"/>
  <c r="CL43" i="4" a="1"/>
  <c r="CG43" i="4" a="1"/>
  <c r="AC43" i="4" a="1"/>
  <c r="AK43" i="4" a="1"/>
  <c r="CQ43" i="4"/>
  <c r="CN43" i="4" a="1"/>
  <c r="CF43" i="4" a="1"/>
  <c r="BN43" i="4" a="1"/>
  <c r="CK43" i="4" a="1"/>
  <c r="AE43" i="4" a="1"/>
  <c r="CC43" i="4" a="1"/>
  <c r="CI74" i="4" a="1"/>
  <c r="AK74" i="4" a="1"/>
  <c r="AC74" i="4" a="1"/>
  <c r="AE74" i="4" a="1"/>
  <c r="CD74" i="4" a="1"/>
  <c r="CT74" i="4"/>
  <c r="CF74" i="4" a="1"/>
  <c r="CM74" i="4" a="1"/>
  <c r="CN74" i="4" a="1"/>
  <c r="CJ74" i="4" a="1"/>
  <c r="CG74" i="4" a="1"/>
  <c r="CB74" i="4" a="1"/>
  <c r="BP74" i="4" a="1"/>
  <c r="CK74" i="4" a="1"/>
  <c r="AM74" i="4" a="1"/>
  <c r="BN74" i="4" a="1"/>
  <c r="CC74" i="4" a="1"/>
  <c r="CQ74" i="4"/>
  <c r="CH74" i="4"/>
  <c r="CE74" i="4" a="1"/>
  <c r="CL74" i="4" a="1"/>
  <c r="CK47" i="4" a="1"/>
  <c r="CN47" i="4" a="1"/>
  <c r="CH47" i="4"/>
  <c r="BP47" i="4" a="1"/>
  <c r="CB47" i="4" a="1"/>
  <c r="CT47" i="4"/>
  <c r="BN47" i="4" a="1"/>
  <c r="AC47" i="4" a="1"/>
  <c r="CL47" i="4" a="1"/>
  <c r="CI47" i="4" a="1"/>
  <c r="CG47" i="4" a="1"/>
  <c r="CM47" i="4" a="1"/>
  <c r="AE47" i="4" a="1"/>
  <c r="CD47" i="4" a="1"/>
  <c r="CJ47" i="4" a="1"/>
  <c r="CC47" i="4" a="1"/>
  <c r="CE47" i="4" a="1"/>
  <c r="AM47" i="4" a="1"/>
  <c r="CF47" i="4" a="1"/>
  <c r="AK47" i="4" a="1"/>
  <c r="CQ47" i="4"/>
  <c r="CN13" i="4" a="1"/>
  <c r="CH13" i="4"/>
  <c r="BN13" i="4" a="1"/>
  <c r="AM13" i="4" a="1"/>
  <c r="CF13" i="4" a="1"/>
  <c r="CT13" i="4"/>
  <c r="AC13" i="4" a="1"/>
  <c r="CJ13" i="4" a="1"/>
  <c r="CI13" i="4" a="1"/>
  <c r="AE13" i="4" a="1"/>
  <c r="CQ13" i="4"/>
  <c r="CD13" i="4" a="1"/>
  <c r="AK13" i="4" a="1"/>
  <c r="CC13" i="4" a="1"/>
  <c r="CG13" i="4" a="1"/>
  <c r="CM13" i="4" a="1"/>
  <c r="CL13" i="4" a="1"/>
  <c r="CE13" i="4" a="1"/>
  <c r="BP13" i="4" a="1"/>
  <c r="CB13" i="4" a="1"/>
  <c r="CK13" i="4" a="1"/>
  <c r="AE84" i="4" a="1"/>
  <c r="CH84" i="4"/>
  <c r="CB84" i="4" a="1"/>
  <c r="BN84" i="4" a="1"/>
  <c r="CL84" i="4" a="1"/>
  <c r="AM84" i="4" a="1"/>
  <c r="CN84" i="4" a="1"/>
  <c r="CK84" i="4" a="1"/>
  <c r="AC84" i="4" a="1"/>
  <c r="CJ84" i="4" a="1"/>
  <c r="CQ84" i="4"/>
  <c r="CI84" i="4" a="1"/>
  <c r="CG84" i="4" a="1"/>
  <c r="CE84" i="4" a="1"/>
  <c r="AK84" i="4" a="1"/>
  <c r="CM84" i="4" a="1"/>
  <c r="CF84" i="4" a="1"/>
  <c r="CC84" i="4" a="1"/>
  <c r="CD84" i="4" a="1"/>
  <c r="CT84" i="4"/>
  <c r="BP84" i="4" a="1"/>
  <c r="CL16" i="4" a="1"/>
  <c r="CD16" i="4" a="1"/>
  <c r="AK16" i="4" a="1"/>
  <c r="CH16" i="4"/>
  <c r="CK16" i="4" a="1"/>
  <c r="CI16" i="4" a="1"/>
  <c r="CE16" i="4" a="1"/>
  <c r="CG16" i="4" a="1"/>
  <c r="AM16" i="4" a="1"/>
  <c r="CM16" i="4" a="1"/>
  <c r="CQ16" i="4"/>
  <c r="CF16" i="4" a="1"/>
  <c r="BN16" i="4" a="1"/>
  <c r="AC16" i="4" a="1"/>
  <c r="CJ16" i="4" a="1"/>
  <c r="CN16" i="4" a="1"/>
  <c r="CT16" i="4"/>
  <c r="CB16" i="4" a="1"/>
  <c r="BP16" i="4" a="1"/>
  <c r="AE16" i="4" a="1"/>
  <c r="CC16" i="4" a="1"/>
  <c r="CD77" i="4" a="1"/>
  <c r="CB77" i="4" a="1"/>
  <c r="AE77" i="4" a="1"/>
  <c r="CN77" i="4" a="1"/>
  <c r="CC77" i="4" a="1"/>
  <c r="CL77" i="4" a="1"/>
  <c r="CM77" i="4" a="1"/>
  <c r="CJ77" i="4" a="1"/>
  <c r="CQ77" i="4"/>
  <c r="CK77" i="4" a="1"/>
  <c r="BN77" i="4" a="1"/>
  <c r="CH77" i="4"/>
  <c r="AK77" i="4" a="1"/>
  <c r="BP77" i="4" a="1"/>
  <c r="CF77" i="4" a="1"/>
  <c r="AM77" i="4" a="1"/>
  <c r="CG77" i="4" a="1"/>
  <c r="CI77" i="4" a="1"/>
  <c r="AC77" i="4" a="1"/>
  <c r="CT77" i="4"/>
  <c r="CE77" i="4" a="1"/>
  <c r="AC27" i="4" a="1"/>
  <c r="CK27" i="4" a="1"/>
  <c r="CF27" i="4" a="1"/>
  <c r="CQ27" i="4"/>
  <c r="CN27" i="4" a="1"/>
  <c r="CH27" i="4"/>
  <c r="CG27" i="4" a="1"/>
  <c r="CM27" i="4" a="1"/>
  <c r="AM27" i="4" a="1"/>
  <c r="CI27" i="4" a="1"/>
  <c r="CC27" i="4" a="1"/>
  <c r="BP27" i="4" a="1"/>
  <c r="CT27" i="4"/>
  <c r="CB27" i="4" a="1"/>
  <c r="AE27" i="4" a="1"/>
  <c r="CD27" i="4" a="1"/>
  <c r="CJ27" i="4" a="1"/>
  <c r="BN27" i="4" a="1"/>
  <c r="AK27" i="4" a="1"/>
  <c r="CE27" i="4" a="1"/>
  <c r="CL27" i="4" a="1"/>
  <c r="CK54" i="4" a="1"/>
  <c r="AE54" i="4" a="1"/>
  <c r="AK54" i="4" a="1"/>
  <c r="BP54" i="4" a="1"/>
  <c r="CQ54" i="4"/>
  <c r="CD54" i="4" a="1"/>
  <c r="BN54" i="4" a="1"/>
  <c r="CL54" i="4" a="1"/>
  <c r="CI54" i="4" a="1"/>
  <c r="CN54" i="4" a="1"/>
  <c r="CH54" i="4"/>
  <c r="CT54" i="4"/>
  <c r="CE54" i="4" a="1"/>
  <c r="CF54" i="4" a="1"/>
  <c r="CJ54" i="4" a="1"/>
  <c r="CB54" i="4" a="1"/>
  <c r="AM54" i="4" a="1"/>
  <c r="CG54" i="4" a="1"/>
  <c r="CM54" i="4" a="1"/>
  <c r="CC54" i="4" a="1"/>
  <c r="AC54" i="4" a="1"/>
  <c r="CM78" i="4" a="1"/>
  <c r="BN78" i="4" a="1"/>
  <c r="CI78" i="4" a="1"/>
  <c r="CE78" i="4" a="1"/>
  <c r="CJ78" i="4" a="1"/>
  <c r="CG78" i="4" a="1"/>
  <c r="CH78" i="4"/>
  <c r="CK78" i="4" a="1"/>
  <c r="CD78" i="4" a="1"/>
  <c r="CQ78" i="4"/>
  <c r="CF78" i="4" a="1"/>
  <c r="AM78" i="4" a="1"/>
  <c r="CT78" i="4"/>
  <c r="CL78" i="4" a="1"/>
  <c r="BP78" i="4" a="1"/>
  <c r="AK78" i="4" a="1"/>
  <c r="CN78" i="4" a="1"/>
  <c r="CB78" i="4" a="1"/>
  <c r="AC78" i="4" a="1"/>
  <c r="CC78" i="4" a="1"/>
  <c r="AE78" i="4" a="1"/>
  <c r="CE40" i="4" a="1"/>
  <c r="CF40" i="4" a="1"/>
  <c r="CJ40" i="4" a="1"/>
  <c r="CI40" i="4" a="1"/>
  <c r="AC40" i="4" a="1"/>
  <c r="BP40" i="4" a="1"/>
  <c r="CK40" i="4" a="1"/>
  <c r="CG40" i="4" a="1"/>
  <c r="BN40" i="4" a="1"/>
  <c r="CH40" i="4"/>
  <c r="CM40" i="4" a="1"/>
  <c r="CN40" i="4" a="1"/>
  <c r="AK40" i="4" a="1"/>
  <c r="AM40" i="4" a="1"/>
  <c r="CD40" i="4" a="1"/>
  <c r="AE40" i="4" a="1"/>
  <c r="CT40" i="4"/>
  <c r="CC40" i="4" a="1"/>
  <c r="CL40" i="4" a="1"/>
  <c r="CQ40" i="4"/>
  <c r="CB40" i="4" a="1"/>
  <c r="CF88" i="4" a="1"/>
  <c r="BN88" i="4" a="1"/>
  <c r="AC88" i="4" a="1"/>
  <c r="BP88" i="4" a="1"/>
  <c r="CI88" i="4" a="1"/>
  <c r="CN88" i="4" a="1"/>
  <c r="AM88" i="4" a="1"/>
  <c r="CB88" i="4" a="1"/>
  <c r="CQ88" i="4"/>
  <c r="CC88" i="4" a="1"/>
  <c r="CH88" i="4"/>
  <c r="CJ88" i="4" a="1"/>
  <c r="CL88" i="4" a="1"/>
  <c r="AK88" i="4" a="1"/>
  <c r="CM88" i="4" a="1"/>
  <c r="CD88" i="4" a="1"/>
  <c r="CE88" i="4" a="1"/>
  <c r="CT88" i="4"/>
  <c r="CK88" i="4" a="1"/>
  <c r="CG88" i="4" a="1"/>
  <c r="AE88" i="4" a="1"/>
  <c r="CG91" i="4" a="1"/>
  <c r="CJ91" i="4" a="1"/>
  <c r="CK91" i="4" a="1"/>
  <c r="CL91" i="4" a="1"/>
  <c r="CD91" i="4" a="1"/>
  <c r="AC91" i="4" a="1"/>
  <c r="CC91" i="4" a="1"/>
  <c r="CI91" i="4" a="1"/>
  <c r="AE91" i="4" a="1"/>
  <c r="CM91" i="4" a="1"/>
  <c r="CN91" i="4" a="1"/>
  <c r="BN91" i="4" a="1"/>
  <c r="CE91" i="4" a="1"/>
  <c r="CQ91" i="4"/>
  <c r="CF91" i="4" a="1"/>
  <c r="CT91" i="4"/>
  <c r="AK91" i="4" a="1"/>
  <c r="CH91" i="4"/>
  <c r="CB91" i="4" a="1"/>
  <c r="BP91" i="4" a="1"/>
  <c r="AM91" i="4" a="1"/>
  <c r="CL76" i="4" a="1"/>
  <c r="CG76" i="4" a="1"/>
  <c r="CI76" i="4" a="1"/>
  <c r="CT76" i="4"/>
  <c r="CE76" i="4" a="1"/>
  <c r="CN76" i="4" a="1"/>
  <c r="BN76" i="4" a="1"/>
  <c r="AC76" i="4" a="1"/>
  <c r="AM76" i="4" a="1"/>
  <c r="CB76" i="4" a="1"/>
  <c r="AK76" i="4" a="1"/>
  <c r="CC76" i="4" a="1"/>
  <c r="CQ76" i="4"/>
  <c r="CF76" i="4" a="1"/>
  <c r="CK76" i="4" a="1"/>
  <c r="CM76" i="4" a="1"/>
  <c r="CH76" i="4"/>
  <c r="BP76" i="4" a="1"/>
  <c r="CD76" i="4" a="1"/>
  <c r="CJ76" i="4" a="1"/>
  <c r="AE76" i="4" a="1"/>
  <c r="CK37" i="4" a="1"/>
  <c r="CT37" i="4"/>
  <c r="CL37" i="4" a="1"/>
  <c r="AM37" i="4" a="1"/>
  <c r="CF37" i="4" a="1"/>
  <c r="CB37" i="4" a="1"/>
  <c r="BP37" i="4" a="1"/>
  <c r="CD37" i="4" a="1"/>
  <c r="CM37" i="4" a="1"/>
  <c r="CI37" i="4" a="1"/>
  <c r="CE37" i="4" a="1"/>
  <c r="AC37" i="4" a="1"/>
  <c r="CH37" i="4"/>
  <c r="BN37" i="4" a="1"/>
  <c r="CQ37" i="4"/>
  <c r="CJ37" i="4" a="1"/>
  <c r="CN37" i="4" a="1"/>
  <c r="AE37" i="4" a="1"/>
  <c r="AK37" i="4" a="1"/>
  <c r="CC37" i="4" a="1"/>
  <c r="CG37" i="4" a="1"/>
  <c r="AM45" i="4" a="1"/>
  <c r="CB45" i="4" a="1"/>
  <c r="BN45" i="4" a="1"/>
  <c r="AK45" i="4" a="1"/>
  <c r="CF45" i="4" a="1"/>
  <c r="CL45" i="4" a="1"/>
  <c r="AE45" i="4" a="1"/>
  <c r="CK45" i="4" a="1"/>
  <c r="CT45" i="4"/>
  <c r="CD45" i="4" a="1"/>
  <c r="AC45" i="4" a="1"/>
  <c r="CC45" i="4" a="1"/>
  <c r="CQ45" i="4"/>
  <c r="BP45" i="4" a="1"/>
  <c r="CH45" i="4"/>
  <c r="CG45" i="4" a="1"/>
  <c r="CI45" i="4" a="1"/>
  <c r="CM45" i="4" a="1"/>
  <c r="CJ45" i="4" a="1"/>
  <c r="CE45" i="4" a="1"/>
  <c r="CN45" i="4" a="1"/>
  <c r="BP64" i="4" a="1"/>
  <c r="CB64" i="4" a="1"/>
  <c r="BN64" i="4" a="1"/>
  <c r="AK64" i="4" a="1"/>
  <c r="AE64" i="4" a="1"/>
  <c r="CN64" i="4" a="1"/>
  <c r="CD64" i="4" a="1"/>
  <c r="CI64" i="4" a="1"/>
  <c r="CM64" i="4" a="1"/>
  <c r="CE64" i="4" a="1"/>
  <c r="AM64" i="4" a="1"/>
  <c r="CF64" i="4" a="1"/>
  <c r="CK64" i="4" a="1"/>
  <c r="CL64" i="4" a="1"/>
  <c r="CT64" i="4"/>
  <c r="CJ64" i="4" a="1"/>
  <c r="CQ64" i="4"/>
  <c r="CH64" i="4"/>
  <c r="CG64" i="4" a="1"/>
  <c r="CC64" i="4" a="1"/>
  <c r="AC64" i="4" a="1"/>
  <c r="CL61" i="4" a="1"/>
  <c r="CF61" i="4" a="1"/>
  <c r="CB61" i="4" a="1"/>
  <c r="AE61" i="4" a="1"/>
  <c r="CQ61" i="4"/>
  <c r="AK61" i="4" a="1"/>
  <c r="CJ61" i="4" a="1"/>
  <c r="BP61" i="4" a="1"/>
  <c r="CT61" i="4"/>
  <c r="CC61" i="4" a="1"/>
  <c r="CI61" i="4" a="1"/>
  <c r="AC61" i="4" a="1"/>
  <c r="CN61" i="4" a="1"/>
  <c r="CG61" i="4" a="1"/>
  <c r="BN61" i="4" a="1"/>
  <c r="CE61" i="4" a="1"/>
  <c r="CK61" i="4" a="1"/>
  <c r="CM61" i="4" a="1"/>
  <c r="CD61" i="4" a="1"/>
  <c r="CH61" i="4"/>
  <c r="AM61" i="4" a="1"/>
  <c r="CQ17" i="4"/>
  <c r="CI17" i="4" a="1"/>
  <c r="CJ17" i="4" a="1"/>
  <c r="CE17" i="4" a="1"/>
  <c r="CG17" i="4" a="1"/>
  <c r="AC17" i="4" a="1"/>
  <c r="CC17" i="4" a="1"/>
  <c r="AE17" i="4" a="1"/>
  <c r="CK17" i="4" a="1"/>
  <c r="CB17" i="4" a="1"/>
  <c r="CF17" i="4" a="1"/>
  <c r="CD17" i="4" a="1"/>
  <c r="BN17" i="4" a="1"/>
  <c r="CH17" i="4"/>
  <c r="AK17" i="4" a="1"/>
  <c r="CM17" i="4" a="1"/>
  <c r="CT17" i="4"/>
  <c r="BP17" i="4" a="1"/>
  <c r="CN17" i="4" a="1"/>
  <c r="CL17" i="4" a="1"/>
  <c r="AM17" i="4" a="1"/>
  <c r="CJ8" i="4" a="1"/>
  <c r="CC8" i="4" a="1"/>
  <c r="AM8" i="4" a="1"/>
  <c r="CF8" i="4" a="1"/>
  <c r="CI8" i="4" a="1"/>
  <c r="CB8" i="4" a="1"/>
  <c r="CK8" i="4" a="1"/>
  <c r="CE8" i="4" a="1"/>
  <c r="CQ8" i="4"/>
  <c r="AK8" i="4" a="1"/>
  <c r="CH8" i="4"/>
  <c r="CM8" i="4" a="1"/>
  <c r="AC8" i="4" a="1"/>
  <c r="CD8" i="4" a="1"/>
  <c r="CT8" i="4"/>
  <c r="CG8" i="4" a="1"/>
  <c r="CL8" i="4" a="1"/>
  <c r="BN8" i="4" a="1"/>
  <c r="BP8" i="4" a="1"/>
  <c r="CN8" i="4" a="1"/>
  <c r="AE8" i="4" a="1"/>
  <c r="CI15" i="4" a="1"/>
  <c r="CN15" i="4" a="1"/>
  <c r="CK15" i="4" a="1"/>
  <c r="AE15" i="4" a="1"/>
  <c r="AK15" i="4" a="1"/>
  <c r="AM15" i="4" a="1"/>
  <c r="CH15" i="4"/>
  <c r="CB15" i="4" a="1"/>
  <c r="CE15" i="4" a="1"/>
  <c r="CF15" i="4" a="1"/>
  <c r="BN15" i="4" a="1"/>
  <c r="AC15" i="4" a="1"/>
  <c r="CG15" i="4" a="1"/>
  <c r="CQ15" i="4"/>
  <c r="CC15" i="4" a="1"/>
  <c r="CT15" i="4"/>
  <c r="CJ15" i="4" a="1"/>
  <c r="CM15" i="4" a="1"/>
  <c r="BP15" i="4" a="1"/>
  <c r="CL15" i="4" a="1"/>
  <c r="CD15" i="4" a="1"/>
  <c r="CL18" i="4" a="1"/>
  <c r="BN18" i="4" a="1"/>
  <c r="AC18" i="4" a="1"/>
  <c r="CM18" i="4" a="1"/>
  <c r="AE18" i="4" a="1"/>
  <c r="CH18" i="4"/>
  <c r="CD18" i="4" a="1"/>
  <c r="CN18" i="4" a="1"/>
  <c r="BP18" i="4" a="1"/>
  <c r="CI18" i="4" a="1"/>
  <c r="AM18" i="4" a="1"/>
  <c r="CQ18" i="4"/>
  <c r="CF18" i="4" a="1"/>
  <c r="CB18" i="4" a="1"/>
  <c r="CE18" i="4" a="1"/>
  <c r="CK18" i="4" a="1"/>
  <c r="CG18" i="4" a="1"/>
  <c r="CC18" i="4" a="1"/>
  <c r="AK18" i="4" a="1"/>
  <c r="CJ18" i="4" a="1"/>
  <c r="CT18" i="4"/>
  <c r="AK29" i="4" a="1"/>
  <c r="BN29" i="4" a="1"/>
  <c r="CM29" i="4" a="1"/>
  <c r="CN29" i="4" a="1"/>
  <c r="CI29" i="4" a="1"/>
  <c r="CF29" i="4" a="1"/>
  <c r="CG29" i="4" a="1"/>
  <c r="CB29" i="4" a="1"/>
  <c r="CT29" i="4"/>
  <c r="CQ29" i="4"/>
  <c r="CH29" i="4"/>
  <c r="BP29" i="4" a="1"/>
  <c r="CL29" i="4" a="1"/>
  <c r="CJ29" i="4" a="1"/>
  <c r="CE29" i="4" a="1"/>
  <c r="AC29" i="4" a="1"/>
  <c r="AM29" i="4" a="1"/>
  <c r="CC29" i="4" a="1"/>
  <c r="AE29" i="4" a="1"/>
  <c r="CK29" i="4" a="1"/>
  <c r="CD29" i="4" a="1"/>
  <c r="CM59" i="4" a="1"/>
  <c r="CT59" i="4"/>
  <c r="AE59" i="4" a="1"/>
  <c r="CB59" i="4" a="1"/>
  <c r="BP59" i="4" a="1"/>
  <c r="CJ59" i="4" a="1"/>
  <c r="CD59" i="4" a="1"/>
  <c r="CQ59" i="4"/>
  <c r="AM59" i="4" a="1"/>
  <c r="AK59" i="4" a="1"/>
  <c r="CH59" i="4"/>
  <c r="BN59" i="4" a="1"/>
  <c r="CF59" i="4" a="1"/>
  <c r="CG59" i="4" a="1"/>
  <c r="CL59" i="4" a="1"/>
  <c r="CN59" i="4" a="1"/>
  <c r="CC59" i="4" a="1"/>
  <c r="CE59" i="4" a="1"/>
  <c r="CI59" i="4" a="1"/>
  <c r="CK59" i="4" a="1"/>
  <c r="AC59" i="4" a="1"/>
  <c r="CL62" i="4" a="1"/>
  <c r="CG62" i="4" a="1"/>
  <c r="CC62" i="4" a="1"/>
  <c r="AK62" i="4" a="1"/>
  <c r="CT62" i="4"/>
  <c r="CQ62" i="4"/>
  <c r="CF62" i="4" a="1"/>
  <c r="BP62" i="4" a="1"/>
  <c r="CD62" i="4" a="1"/>
  <c r="CN62" i="4" a="1"/>
  <c r="CI62" i="4" a="1"/>
  <c r="AE62" i="4" a="1"/>
  <c r="CK62" i="4" a="1"/>
  <c r="BN62" i="4" a="1"/>
  <c r="CM62" i="4" a="1"/>
  <c r="CH62" i="4"/>
  <c r="AC62" i="4" a="1"/>
  <c r="CJ62" i="4" a="1"/>
  <c r="CB62" i="4" a="1"/>
  <c r="AM62" i="4" a="1"/>
  <c r="CE62" i="4" a="1"/>
  <c r="CE57" i="4" a="1"/>
  <c r="CB57" i="4" a="1"/>
  <c r="CD57" i="4" a="1"/>
  <c r="CM57" i="4" a="1"/>
  <c r="CQ57" i="4"/>
  <c r="CJ57" i="4" a="1"/>
  <c r="CH57" i="4"/>
  <c r="CK57" i="4" a="1"/>
  <c r="CT57" i="4"/>
  <c r="CC57" i="4" a="1"/>
  <c r="BP57" i="4" a="1"/>
  <c r="BN57" i="4" a="1"/>
  <c r="CN57" i="4" a="1"/>
  <c r="CL57" i="4" a="1"/>
  <c r="CI57" i="4" a="1"/>
  <c r="CF57" i="4" a="1"/>
  <c r="CG57" i="4" a="1"/>
  <c r="AE57" i="4" a="1"/>
  <c r="AM57" i="4" a="1"/>
  <c r="AC57" i="4" a="1"/>
  <c r="AK57" i="4" a="1"/>
  <c r="CT7" i="4"/>
  <c r="CL7" i="4" a="1"/>
  <c r="CM7" i="4" a="1"/>
  <c r="CI7" i="4" a="1"/>
  <c r="CH7" i="4"/>
  <c r="BN7" i="4" a="1"/>
  <c r="CC7" i="4" a="1"/>
  <c r="CK7" i="4" a="1"/>
  <c r="AM7" i="4" a="1"/>
  <c r="CB7" i="4" a="1"/>
  <c r="BP7" i="4" a="1"/>
  <c r="AE7" i="4" a="1"/>
  <c r="CD7" i="4" a="1"/>
  <c r="CQ7" i="4"/>
  <c r="CE7" i="4" a="1"/>
  <c r="CN7" i="4" a="1"/>
  <c r="CF7" i="4" a="1"/>
  <c r="CJ7" i="4" a="1"/>
  <c r="CG7" i="4" a="1"/>
  <c r="AC7" i="4" a="1"/>
  <c r="AK7" i="4" a="1"/>
  <c r="AC89" i="4" a="1"/>
  <c r="CT89" i="4"/>
  <c r="CC89" i="4" a="1"/>
  <c r="CI89" i="4" a="1"/>
  <c r="CJ89" i="4" a="1"/>
  <c r="CL89" i="4" a="1"/>
  <c r="BP89" i="4" a="1"/>
  <c r="CF89" i="4" a="1"/>
  <c r="CN89" i="4" a="1"/>
  <c r="BN89" i="4" a="1"/>
  <c r="AE89" i="4" a="1"/>
  <c r="CB89" i="4" a="1"/>
  <c r="CD89" i="4" a="1"/>
  <c r="CM89" i="4" a="1"/>
  <c r="CK89" i="4" a="1"/>
  <c r="CE89" i="4" a="1"/>
  <c r="AM89" i="4" a="1"/>
  <c r="CQ89" i="4"/>
  <c r="CH89" i="4"/>
  <c r="AK89" i="4" a="1"/>
  <c r="CG89" i="4" a="1"/>
  <c r="CF21" i="4" a="1"/>
  <c r="AK21" i="4" a="1"/>
  <c r="CE21" i="4" a="1"/>
  <c r="BP21" i="4" a="1"/>
  <c r="AE21" i="4" a="1"/>
  <c r="CG21" i="4" a="1"/>
  <c r="CH21" i="4"/>
  <c r="AM21" i="4" a="1"/>
  <c r="CL21" i="4" a="1"/>
  <c r="CM21" i="4" a="1"/>
  <c r="CD21" i="4" a="1"/>
  <c r="CC21" i="4" a="1"/>
  <c r="CT21" i="4"/>
  <c r="CQ21" i="4"/>
  <c r="CJ21" i="4" a="1"/>
  <c r="CK21" i="4" a="1"/>
  <c r="CN21" i="4" a="1"/>
  <c r="BN21" i="4" a="1"/>
  <c r="AC21" i="4" a="1"/>
  <c r="CB21" i="4" a="1"/>
  <c r="CI21" i="4" a="1"/>
  <c r="AN58" i="4" a="1"/>
  <c r="AO58" i="4" a="1"/>
  <c r="CM6" i="4" a="1"/>
  <c r="CK6" i="4" a="1"/>
  <c r="CJ6" i="4" a="1"/>
  <c r="CN6" i="4" a="1"/>
  <c r="CH6" i="4"/>
  <c r="AM6" i="4" a="1"/>
  <c r="CI6" i="4" a="1"/>
  <c r="AE6" i="4" a="1"/>
  <c r="CE6" i="4" a="1"/>
  <c r="CL6" i="4" a="1"/>
  <c r="CC6" i="4" a="1"/>
  <c r="BN6" i="4" a="1"/>
  <c r="CG6" i="4" a="1"/>
  <c r="AK6" i="4" a="1"/>
  <c r="CT6" i="4"/>
  <c r="AC6" i="4" a="1"/>
  <c r="CF6" i="4" a="1"/>
  <c r="CD6" i="4" a="1"/>
  <c r="BP6" i="4" a="1"/>
  <c r="CB6" i="4" a="1"/>
  <c r="CQ6" i="4"/>
  <c r="CK73" i="4" a="1"/>
  <c r="CB73" i="4" a="1"/>
  <c r="CI73" i="4" a="1"/>
  <c r="CH73" i="4"/>
  <c r="CQ73" i="4"/>
  <c r="AM73" i="4" a="1"/>
  <c r="CG73" i="4" a="1"/>
  <c r="CT73" i="4"/>
  <c r="CL73" i="4" a="1"/>
  <c r="BP73" i="4" a="1"/>
  <c r="BN73" i="4" a="1"/>
  <c r="AK73" i="4" a="1"/>
  <c r="CJ73" i="4" a="1"/>
  <c r="CD73" i="4" a="1"/>
  <c r="CM73" i="4" a="1"/>
  <c r="CF73" i="4" a="1"/>
  <c r="AE73" i="4" a="1"/>
  <c r="AC73" i="4" a="1"/>
  <c r="CE73" i="4" a="1"/>
  <c r="CN73" i="4" a="1"/>
  <c r="CC73" i="4" a="1"/>
  <c r="CG38" i="4" a="1"/>
  <c r="AC38" i="4" a="1"/>
  <c r="AM38" i="4" a="1"/>
  <c r="CM38" i="4" a="1"/>
  <c r="CF38" i="4" a="1"/>
  <c r="AK38" i="4" a="1"/>
  <c r="CD38" i="4" a="1"/>
  <c r="BP38" i="4" a="1"/>
  <c r="CT38" i="4"/>
  <c r="CI38" i="4" a="1"/>
  <c r="CN38" i="4" a="1"/>
  <c r="CB38" i="4" a="1"/>
  <c r="BN38" i="4" a="1"/>
  <c r="CH38" i="4"/>
  <c r="CQ38" i="4"/>
  <c r="AE38" i="4" a="1"/>
  <c r="CL38" i="4" a="1"/>
  <c r="CE38" i="4" a="1"/>
  <c r="CK38" i="4" a="1"/>
  <c r="CJ38" i="4" a="1"/>
  <c r="CC38" i="4" a="1"/>
  <c r="CE36" i="4" a="1"/>
  <c r="AK36" i="4" a="1"/>
  <c r="CI36" i="4" a="1"/>
  <c r="CJ36" i="4" a="1"/>
  <c r="CH36" i="4"/>
  <c r="BN36" i="4" a="1"/>
  <c r="CL36" i="4" a="1"/>
  <c r="CM36" i="4" a="1"/>
  <c r="CQ36" i="4"/>
  <c r="CC36" i="4" a="1"/>
  <c r="CN36" i="4" a="1"/>
  <c r="AE36" i="4" a="1"/>
  <c r="CK36" i="4" a="1"/>
  <c r="CT36" i="4"/>
  <c r="CF36" i="4" a="1"/>
  <c r="CG36" i="4" a="1"/>
  <c r="AC36" i="4" a="1"/>
  <c r="CB36" i="4" a="1"/>
  <c r="BP36" i="4" a="1"/>
  <c r="AM36" i="4" a="1"/>
  <c r="CD36" i="4" a="1"/>
  <c r="AK69" i="4" a="1"/>
  <c r="CI69" i="4" a="1"/>
  <c r="CT69" i="4"/>
  <c r="AM69" i="4" a="1"/>
  <c r="AE69" i="4" a="1"/>
  <c r="CE69" i="4" a="1"/>
  <c r="CB69" i="4" a="1"/>
  <c r="CF69" i="4" a="1"/>
  <c r="BN69" i="4" a="1"/>
  <c r="CL69" i="4" a="1"/>
  <c r="BP69" i="4" a="1"/>
  <c r="CD69" i="4" a="1"/>
  <c r="CN69" i="4" a="1"/>
  <c r="AC69" i="4" a="1"/>
  <c r="CG69" i="4" a="1"/>
  <c r="CQ69" i="4"/>
  <c r="CH69" i="4"/>
  <c r="CJ69" i="4" a="1"/>
  <c r="CK69" i="4" a="1"/>
  <c r="CC69" i="4" a="1"/>
  <c r="CM69" i="4" a="1"/>
  <c r="CB81" i="4" a="1"/>
  <c r="CC81" i="4" a="1"/>
  <c r="CJ81" i="4" a="1"/>
  <c r="AE81" i="4" a="1"/>
  <c r="BP81" i="4" a="1"/>
  <c r="CM81" i="4" a="1"/>
  <c r="CT81" i="4"/>
  <c r="CE81" i="4" a="1"/>
  <c r="CG81" i="4" a="1"/>
  <c r="AC81" i="4" a="1"/>
  <c r="BN81" i="4" a="1"/>
  <c r="CQ81" i="4"/>
  <c r="CK81" i="4" a="1"/>
  <c r="AK81" i="4" a="1"/>
  <c r="CL81" i="4" a="1"/>
  <c r="CH81" i="4"/>
  <c r="CI81" i="4" a="1"/>
  <c r="CF81" i="4" a="1"/>
  <c r="CN81" i="4" a="1"/>
  <c r="CD81" i="4" a="1"/>
  <c r="AM81" i="4" a="1"/>
  <c r="AC90" i="4" a="1"/>
  <c r="AK90" i="4" a="1"/>
  <c r="CI90" i="4" a="1"/>
  <c r="CD90" i="4" a="1"/>
  <c r="CM90" i="4" a="1"/>
  <c r="CF90" i="4" a="1"/>
  <c r="AM90" i="4" a="1"/>
  <c r="CL90" i="4" a="1"/>
  <c r="CT90" i="4"/>
  <c r="CK90" i="4" a="1"/>
  <c r="AE90" i="4" a="1"/>
  <c r="CJ90" i="4" a="1"/>
  <c r="CN90" i="4" a="1"/>
  <c r="CE90" i="4" a="1"/>
  <c r="BP90" i="4" a="1"/>
  <c r="CG90" i="4" a="1"/>
  <c r="CH90" i="4"/>
  <c r="CQ90" i="4"/>
  <c r="CB90" i="4" a="1"/>
  <c r="BN90" i="4" a="1"/>
  <c r="CC90" i="4" a="1"/>
  <c r="CG67" i="4" a="1"/>
  <c r="AK67" i="4" a="1"/>
  <c r="CL67" i="4" a="1"/>
  <c r="CJ67" i="4" a="1"/>
  <c r="CF67" i="4" a="1"/>
  <c r="CN67" i="4" a="1"/>
  <c r="BN67" i="4" a="1"/>
  <c r="CE67" i="4" a="1"/>
  <c r="CQ67" i="4"/>
  <c r="CK67" i="4" a="1"/>
  <c r="BP67" i="4" a="1"/>
  <c r="AE67" i="4" a="1"/>
  <c r="CT67" i="4"/>
  <c r="CB67" i="4" a="1"/>
  <c r="CC67" i="4" a="1"/>
  <c r="CM67" i="4" a="1"/>
  <c r="CI67" i="4" a="1"/>
  <c r="AM67" i="4" a="1"/>
  <c r="AC67" i="4" a="1"/>
  <c r="CD67" i="4" a="1"/>
  <c r="CH67" i="4"/>
  <c r="CG72" i="4" a="1"/>
  <c r="CD72" i="4" a="1"/>
  <c r="CB72" i="4" a="1"/>
  <c r="CN72" i="4" a="1"/>
  <c r="CF72" i="4" a="1"/>
  <c r="AE72" i="4" a="1"/>
  <c r="CI72" i="4" a="1"/>
  <c r="AC72" i="4" a="1"/>
  <c r="CJ72" i="4" a="1"/>
  <c r="CK72" i="4" a="1"/>
  <c r="AM72" i="4" a="1"/>
  <c r="BP72" i="4" a="1"/>
  <c r="CM72" i="4" a="1"/>
  <c r="CC72" i="4" a="1"/>
  <c r="CH72" i="4"/>
  <c r="CE72" i="4" a="1"/>
  <c r="BN72" i="4" a="1"/>
  <c r="AK72" i="4" a="1"/>
  <c r="CL72" i="4" a="1"/>
  <c r="CQ72" i="4"/>
  <c r="CT72" i="4"/>
  <c r="CN52" i="4" a="1"/>
  <c r="CK52" i="4" a="1"/>
  <c r="CD52" i="4" a="1"/>
  <c r="AC52" i="4" a="1"/>
  <c r="CI52" i="4" a="1"/>
  <c r="CT52" i="4"/>
  <c r="BN52" i="4" a="1"/>
  <c r="CC52" i="4" a="1"/>
  <c r="CG52" i="4" a="1"/>
  <c r="CF52" i="4" a="1"/>
  <c r="AK52" i="4" a="1"/>
  <c r="CE52" i="4" a="1"/>
  <c r="CQ52" i="4"/>
  <c r="AM52" i="4" a="1"/>
  <c r="CB52" i="4" a="1"/>
  <c r="CJ52" i="4" a="1"/>
  <c r="BP52" i="4" a="1"/>
  <c r="AE52" i="4" a="1"/>
  <c r="CL52" i="4" a="1"/>
  <c r="CM52" i="4" a="1"/>
  <c r="CH52" i="4"/>
  <c r="CC28" i="4" a="1"/>
  <c r="CI28" i="4" a="1"/>
  <c r="CF28" i="4" a="1"/>
  <c r="CQ28" i="4"/>
  <c r="AC28" i="4" a="1"/>
  <c r="CD28" i="4" a="1"/>
  <c r="AK28" i="4" a="1"/>
  <c r="CM28" i="4" a="1"/>
  <c r="BP28" i="4" a="1"/>
  <c r="AE28" i="4" a="1"/>
  <c r="CN28" i="4" a="1"/>
  <c r="CB28" i="4" a="1"/>
  <c r="CK28" i="4" a="1"/>
  <c r="CG28" i="4" a="1"/>
  <c r="AM28" i="4" a="1"/>
  <c r="CL28" i="4" a="1"/>
  <c r="CT28" i="4"/>
  <c r="CH28" i="4"/>
  <c r="BN28" i="4" a="1"/>
  <c r="CE28" i="4" a="1"/>
  <c r="CJ28" i="4" a="1"/>
  <c r="CQ22" i="4"/>
  <c r="CN22" i="4" a="1"/>
  <c r="CE22" i="4" a="1"/>
  <c r="AC22" i="4" a="1"/>
  <c r="CT22" i="4"/>
  <c r="CM22" i="4" a="1"/>
  <c r="BP22" i="4" a="1"/>
  <c r="AK22" i="4" a="1"/>
  <c r="CH22" i="4"/>
  <c r="CI22" i="4" a="1"/>
  <c r="AM22" i="4" a="1"/>
  <c r="CJ22" i="4" a="1"/>
  <c r="CB22" i="4" a="1"/>
  <c r="BN22" i="4" a="1"/>
  <c r="CG22" i="4" a="1"/>
  <c r="CK22" i="4" a="1"/>
  <c r="CL22" i="4" a="1"/>
  <c r="CD22" i="4" a="1"/>
  <c r="AE22" i="4" a="1"/>
  <c r="CC22" i="4" a="1"/>
  <c r="CF22" i="4" a="1"/>
  <c r="CE66" i="4" a="1"/>
  <c r="AC66" i="4" a="1"/>
  <c r="CC66" i="4" a="1"/>
  <c r="CF66" i="4" a="1"/>
  <c r="BN66" i="4" a="1"/>
  <c r="CI66" i="4" a="1"/>
  <c r="CQ66" i="4"/>
  <c r="CH66" i="4"/>
  <c r="CN66" i="4" a="1"/>
  <c r="CD66" i="4" a="1"/>
  <c r="AK66" i="4" a="1"/>
  <c r="AE66" i="4" a="1"/>
  <c r="CT66" i="4"/>
  <c r="CM66" i="4" a="1"/>
  <c r="CJ66" i="4" a="1"/>
  <c r="CK66" i="4" a="1"/>
  <c r="CG66" i="4" a="1"/>
  <c r="CB66" i="4" a="1"/>
  <c r="CL66" i="4" a="1"/>
  <c r="BP66" i="4" a="1"/>
  <c r="AM66" i="4" a="1"/>
  <c r="CD11" i="4" a="1"/>
  <c r="CF11" i="4" a="1"/>
  <c r="CM11" i="4" a="1"/>
  <c r="CE11" i="4" a="1"/>
  <c r="BN11" i="4" a="1"/>
  <c r="CK11" i="4" a="1"/>
  <c r="AE11" i="4" a="1"/>
  <c r="CC11" i="4" a="1"/>
  <c r="AC11" i="4" a="1"/>
  <c r="CJ11" i="4" a="1"/>
  <c r="CI11" i="4" a="1"/>
  <c r="CG11" i="4" a="1"/>
  <c r="CN11" i="4" a="1"/>
  <c r="BP11" i="4" a="1"/>
  <c r="AM11" i="4" a="1"/>
  <c r="CL11" i="4" a="1"/>
  <c r="CB11" i="4" a="1"/>
  <c r="AK11" i="4" a="1"/>
  <c r="CT11" i="4"/>
  <c r="CH11" i="4"/>
  <c r="CQ11" i="4"/>
  <c r="CQ31" i="4"/>
  <c r="CF31" i="4" a="1"/>
  <c r="CJ31" i="4" a="1"/>
  <c r="CK31" i="4" a="1"/>
  <c r="CG31" i="4" a="1"/>
  <c r="CL31" i="4" a="1"/>
  <c r="CC31" i="4" a="1"/>
  <c r="AC31" i="4" a="1"/>
  <c r="AM31" i="4" a="1"/>
  <c r="CM31" i="4" a="1"/>
  <c r="BP31" i="4" a="1"/>
  <c r="CE31" i="4" a="1"/>
  <c r="CN31" i="4" a="1"/>
  <c r="CH31" i="4"/>
  <c r="BN31" i="4" a="1"/>
  <c r="CT31" i="4"/>
  <c r="AK31" i="4" a="1"/>
  <c r="AE31" i="4" a="1"/>
  <c r="CB31" i="4" a="1"/>
  <c r="CI31" i="4" a="1"/>
  <c r="CD31" i="4" a="1"/>
  <c r="CT48" i="4"/>
  <c r="AE48" i="4" a="1"/>
  <c r="CI48" i="4" a="1"/>
  <c r="AM48" i="4" a="1"/>
  <c r="AC48" i="4" a="1"/>
  <c r="CE48" i="4" a="1"/>
  <c r="BN48" i="4" a="1"/>
  <c r="CL48" i="4" a="1"/>
  <c r="CK48" i="4" a="1"/>
  <c r="BP48" i="4" a="1"/>
  <c r="CF48" i="4" a="1"/>
  <c r="CG48" i="4" a="1"/>
  <c r="AK48" i="4" a="1"/>
  <c r="CN48" i="4" a="1"/>
  <c r="CB48" i="4" a="1"/>
  <c r="CJ48" i="4" a="1"/>
  <c r="CQ48" i="4"/>
  <c r="CC48" i="4" a="1"/>
  <c r="CH48" i="4"/>
  <c r="CD48" i="4" a="1"/>
  <c r="CM48" i="4" a="1"/>
  <c r="AC24" i="4" a="1"/>
  <c r="CH24" i="4"/>
  <c r="CC24" i="4" a="1"/>
  <c r="AM24" i="4" a="1"/>
  <c r="CL24" i="4" a="1"/>
  <c r="CF24" i="4" a="1"/>
  <c r="CK24" i="4" a="1"/>
  <c r="BN24" i="4" a="1"/>
  <c r="CG24" i="4" a="1"/>
  <c r="CN24" i="4" a="1"/>
  <c r="CJ24" i="4" a="1"/>
  <c r="CT24" i="4"/>
  <c r="CQ24" i="4"/>
  <c r="CM24" i="4" a="1"/>
  <c r="BP24" i="4" a="1"/>
  <c r="CI24" i="4" a="1"/>
  <c r="CD24" i="4" a="1"/>
  <c r="CE24" i="4" a="1"/>
  <c r="CB24" i="4" a="1"/>
  <c r="AE24" i="4" a="1"/>
  <c r="AK24" i="4" a="1"/>
  <c r="CJ71" i="4" a="1"/>
  <c r="AE71" i="4" a="1"/>
  <c r="CD71" i="4" a="1"/>
  <c r="AC71" i="4" a="1"/>
  <c r="CG71" i="4" a="1"/>
  <c r="CK71" i="4" a="1"/>
  <c r="CT71" i="4"/>
  <c r="CC71" i="4" a="1"/>
  <c r="AK71" i="4" a="1"/>
  <c r="AM71" i="4" a="1"/>
  <c r="CL71" i="4" a="1"/>
  <c r="CF71" i="4" a="1"/>
  <c r="BN71" i="4" a="1"/>
  <c r="CQ71" i="4"/>
  <c r="CM71" i="4" a="1"/>
  <c r="CB71" i="4" a="1"/>
  <c r="CI71" i="4" a="1"/>
  <c r="CE71" i="4" a="1"/>
  <c r="CN71" i="4" a="1"/>
  <c r="BP71" i="4" a="1"/>
  <c r="CH71" i="4"/>
  <c r="CJ87" i="4" a="1"/>
  <c r="CD87" i="4" a="1"/>
  <c r="CL87" i="4" a="1"/>
  <c r="BN87" i="4" a="1"/>
  <c r="CN87" i="4" a="1"/>
  <c r="CI87" i="4" a="1"/>
  <c r="CB87" i="4" a="1"/>
  <c r="AE87" i="4" a="1"/>
  <c r="CF87" i="4" a="1"/>
  <c r="CG87" i="4" a="1"/>
  <c r="AK87" i="4" a="1"/>
  <c r="AC87" i="4" a="1"/>
  <c r="AM87" i="4" a="1"/>
  <c r="CH87" i="4"/>
  <c r="CK87" i="4" a="1"/>
  <c r="CM87" i="4" a="1"/>
  <c r="BP87" i="4" a="1"/>
  <c r="CE87" i="4" a="1"/>
  <c r="CQ87" i="4"/>
  <c r="CC87" i="4" a="1"/>
  <c r="CT87" i="4"/>
  <c r="CI83" i="4" a="1"/>
  <c r="AC83" i="4" a="1"/>
  <c r="AM83" i="4" a="1"/>
  <c r="CQ83" i="4"/>
  <c r="CC83" i="4" a="1"/>
  <c r="CL83" i="4" a="1"/>
  <c r="CN83" i="4" a="1"/>
  <c r="CK83" i="4" a="1"/>
  <c r="CH83" i="4"/>
  <c r="BN83" i="4" a="1"/>
  <c r="CG83" i="4" a="1"/>
  <c r="CT83" i="4"/>
  <c r="CE83" i="4" a="1"/>
  <c r="CF83" i="4" a="1"/>
  <c r="AE83" i="4" a="1"/>
  <c r="AK83" i="4" a="1"/>
  <c r="CM83" i="4" a="1"/>
  <c r="BP83" i="4" a="1"/>
  <c r="CJ83" i="4" a="1"/>
  <c r="CB83" i="4" a="1"/>
  <c r="CD83" i="4" a="1"/>
  <c r="BP68" i="4" a="1"/>
  <c r="CF68" i="4" a="1"/>
  <c r="AM68" i="4" a="1"/>
  <c r="CM68" i="4" a="1"/>
  <c r="CT68" i="4"/>
  <c r="BN68" i="4" a="1"/>
  <c r="CD68" i="4" a="1"/>
  <c r="CH68" i="4"/>
  <c r="CL68" i="4" a="1"/>
  <c r="CK68" i="4" a="1"/>
  <c r="AC68" i="4" a="1"/>
  <c r="CB68" i="4" a="1"/>
  <c r="CC68" i="4" a="1"/>
  <c r="CE68" i="4" a="1"/>
  <c r="CG68" i="4" a="1"/>
  <c r="CQ68" i="4"/>
  <c r="AK68" i="4" a="1"/>
  <c r="AE68" i="4" a="1"/>
  <c r="CI68" i="4" a="1"/>
  <c r="CJ68" i="4" a="1"/>
  <c r="CN68" i="4" a="1"/>
  <c r="BN50" i="4" a="1"/>
  <c r="CF50" i="4" a="1"/>
  <c r="CJ50" i="4" a="1"/>
  <c r="CD50" i="4" a="1"/>
  <c r="AE50" i="4" a="1"/>
  <c r="CM50" i="4" a="1"/>
  <c r="CL50" i="4" a="1"/>
  <c r="CT50" i="4"/>
  <c r="CE50" i="4" a="1"/>
  <c r="BP50" i="4" a="1"/>
  <c r="CH50" i="4"/>
  <c r="CN50" i="4" a="1"/>
  <c r="AC50" i="4" a="1"/>
  <c r="CC50" i="4" a="1"/>
  <c r="AM50" i="4" a="1"/>
  <c r="CG50" i="4" a="1"/>
  <c r="CK50" i="4" a="1"/>
  <c r="CQ50" i="4"/>
  <c r="CB50" i="4" a="1"/>
  <c r="AK50" i="4" a="1"/>
  <c r="CI50" i="4" a="1"/>
  <c r="AM86" i="4" a="1"/>
  <c r="AE86" i="4" a="1"/>
  <c r="CH86" i="4"/>
  <c r="CM86" i="4" a="1"/>
  <c r="CG86" i="4" a="1"/>
  <c r="CL86" i="4" a="1"/>
  <c r="BP86" i="4" a="1"/>
  <c r="AC86" i="4" a="1"/>
  <c r="CE86" i="4" a="1"/>
  <c r="CT86" i="4"/>
  <c r="CQ86" i="4"/>
  <c r="CF86" i="4" a="1"/>
  <c r="CC86" i="4" a="1"/>
  <c r="CB86" i="4" a="1"/>
  <c r="AK86" i="4" a="1"/>
  <c r="CD86" i="4" a="1"/>
  <c r="CI86" i="4" a="1"/>
  <c r="CJ86" i="4" a="1"/>
  <c r="CK86" i="4" a="1"/>
  <c r="BN86" i="4" a="1"/>
  <c r="CN86" i="4" a="1"/>
  <c r="CC19" i="4" a="1"/>
  <c r="CI19" i="4" a="1"/>
  <c r="CF19" i="4" a="1"/>
  <c r="CE19" i="4" a="1"/>
  <c r="CB19" i="4" a="1"/>
  <c r="CM19" i="4" a="1"/>
  <c r="CT19" i="4"/>
  <c r="CL19" i="4" a="1"/>
  <c r="AC19" i="4" a="1"/>
  <c r="CK19" i="4" a="1"/>
  <c r="AM19" i="4" a="1"/>
  <c r="CG19" i="4" a="1"/>
  <c r="CD19" i="4" a="1"/>
  <c r="AK19" i="4" a="1"/>
  <c r="BP19" i="4" a="1"/>
  <c r="CH19" i="4"/>
  <c r="CQ19" i="4"/>
  <c r="BN19" i="4" a="1"/>
  <c r="CN19" i="4" a="1"/>
  <c r="AE19" i="4" a="1"/>
  <c r="CJ19" i="4" a="1"/>
  <c r="CQ49" i="4"/>
  <c r="CJ49" i="4" a="1"/>
  <c r="CC49" i="4" a="1"/>
  <c r="CT49" i="4"/>
  <c r="CI49" i="4" a="1"/>
  <c r="AE49" i="4" a="1"/>
  <c r="CL49" i="4" a="1"/>
  <c r="BP49" i="4" a="1"/>
  <c r="CD49" i="4" a="1"/>
  <c r="CN49" i="4" a="1"/>
  <c r="CE49" i="4" a="1"/>
  <c r="AK49" i="4" a="1"/>
  <c r="CB49" i="4" a="1"/>
  <c r="CK49" i="4" a="1"/>
  <c r="AM49" i="4" a="1"/>
  <c r="CF49" i="4" a="1"/>
  <c r="CG49" i="4" a="1"/>
  <c r="BN49" i="4" a="1"/>
  <c r="CH49" i="4"/>
  <c r="AC49" i="4" a="1"/>
  <c r="CM49" i="4" a="1"/>
  <c r="CB25" i="4" a="1"/>
  <c r="CG25" i="4" a="1"/>
  <c r="CH25" i="4"/>
  <c r="AM25" i="4" a="1"/>
  <c r="CN25" i="4" a="1"/>
  <c r="CJ25" i="4" a="1"/>
  <c r="CC25" i="4" a="1"/>
  <c r="CQ25" i="4"/>
  <c r="CF25" i="4" a="1"/>
  <c r="CI25" i="4" a="1"/>
  <c r="CK25" i="4" a="1"/>
  <c r="CM25" i="4" a="1"/>
  <c r="AC25" i="4" a="1"/>
  <c r="CL25" i="4" a="1"/>
  <c r="AE25" i="4" a="1"/>
  <c r="BP25" i="4" a="1"/>
  <c r="CT25" i="4"/>
  <c r="BN25" i="4" a="1"/>
  <c r="CE25" i="4" a="1"/>
  <c r="CD25" i="4" a="1"/>
  <c r="AK25" i="4" a="1"/>
  <c r="CD63" i="4" a="1"/>
  <c r="BP63" i="4" a="1"/>
  <c r="AE63" i="4" a="1"/>
  <c r="CQ63" i="4"/>
  <c r="CG63" i="4" a="1"/>
  <c r="CE63" i="4" a="1"/>
  <c r="AK63" i="4" a="1"/>
  <c r="CC63" i="4" a="1"/>
  <c r="CL63" i="4" a="1"/>
  <c r="CI63" i="4" a="1"/>
  <c r="CJ63" i="4" a="1"/>
  <c r="CK63" i="4" a="1"/>
  <c r="CH63" i="4"/>
  <c r="CN63" i="4" a="1"/>
  <c r="AC63" i="4" a="1"/>
  <c r="AM63" i="4" a="1"/>
  <c r="CF63" i="4" a="1"/>
  <c r="BN63" i="4" a="1"/>
  <c r="CT63" i="4"/>
  <c r="CM63" i="4" a="1"/>
  <c r="CB63" i="4" a="1"/>
  <c r="CI41" i="4" a="1"/>
  <c r="CJ41" i="4" a="1"/>
  <c r="CD41" i="4" a="1"/>
  <c r="AK41" i="4" a="1"/>
  <c r="BN41" i="4" a="1"/>
  <c r="CT41" i="4"/>
  <c r="CN41" i="4" a="1"/>
  <c r="CC41" i="4" a="1"/>
  <c r="CL41" i="4" a="1"/>
  <c r="CE41" i="4" a="1"/>
  <c r="BP41" i="4" a="1"/>
  <c r="AE41" i="4" a="1"/>
  <c r="CH41" i="4"/>
  <c r="CQ41" i="4"/>
  <c r="CF41" i="4" a="1"/>
  <c r="CB41" i="4" a="1"/>
  <c r="CK41" i="4" a="1"/>
  <c r="AM41" i="4" a="1"/>
  <c r="CG41" i="4" a="1"/>
  <c r="CM41" i="4" a="1"/>
  <c r="AC41" i="4" a="1"/>
  <c r="BP51" i="4" a="1"/>
  <c r="CI51" i="4" a="1"/>
  <c r="CE51" i="4" a="1"/>
  <c r="CN51" i="4" a="1"/>
  <c r="CB51" i="4" a="1"/>
  <c r="CK51" i="4" a="1"/>
  <c r="BN51" i="4" a="1"/>
  <c r="CJ51" i="4" a="1"/>
  <c r="AM51" i="4" a="1"/>
  <c r="CF51" i="4" a="1"/>
  <c r="CH51" i="4"/>
  <c r="AE51" i="4" a="1"/>
  <c r="AK51" i="4" a="1"/>
  <c r="CL51" i="4" a="1"/>
  <c r="CC51" i="4" a="1"/>
  <c r="CQ51" i="4"/>
  <c r="AC51" i="4" a="1"/>
  <c r="CG51" i="4" a="1"/>
  <c r="CM51" i="4" a="1"/>
  <c r="CT51" i="4"/>
  <c r="CD51" i="4" a="1"/>
  <c r="AM32" i="4" a="1"/>
  <c r="CH32" i="4"/>
  <c r="CM32" i="4" a="1"/>
  <c r="AK32" i="4" a="1"/>
  <c r="CB32" i="4" a="1"/>
  <c r="CI32" i="4" a="1"/>
  <c r="BP32" i="4" a="1"/>
  <c r="CL32" i="4" a="1"/>
  <c r="CE32" i="4" a="1"/>
  <c r="CD32" i="4" a="1"/>
  <c r="CG32" i="4" a="1"/>
  <c r="BN32" i="4" a="1"/>
  <c r="CC32" i="4" a="1"/>
  <c r="AC32" i="4" a="1"/>
  <c r="CT32" i="4"/>
  <c r="CF32" i="4" a="1"/>
  <c r="CK32" i="4" a="1"/>
  <c r="CJ32" i="4" a="1"/>
  <c r="AE32" i="4" a="1"/>
  <c r="CQ32" i="4"/>
  <c r="CN32" i="4" a="1"/>
  <c r="CN93" i="4" a="1"/>
  <c r="AC93" i="4" a="1"/>
  <c r="CC93" i="4" a="1"/>
  <c r="CD93" i="4" a="1"/>
  <c r="CM93" i="4" a="1"/>
  <c r="CT93" i="4"/>
  <c r="BP93" i="4" a="1"/>
  <c r="CG93" i="4" a="1"/>
  <c r="CL93" i="4" a="1"/>
  <c r="AM93" i="4" a="1"/>
  <c r="CI93" i="4" a="1"/>
  <c r="CH93" i="4"/>
  <c r="CE93" i="4" a="1"/>
  <c r="AK93" i="4" a="1"/>
  <c r="CJ93" i="4" a="1"/>
  <c r="AE93" i="4" a="1"/>
  <c r="CB93" i="4" a="1"/>
  <c r="CQ93" i="4"/>
  <c r="BN93" i="4" a="1"/>
  <c r="CK93" i="4" a="1"/>
  <c r="CF93" i="4" a="1"/>
  <c r="AI58" i="4" a="1"/>
  <c r="AJ58" i="4" a="1"/>
  <c r="AF58" i="4" a="1"/>
  <c r="AG58" i="4" a="1"/>
  <c r="CI35" i="4" a="1"/>
  <c r="AM35" i="4" a="1"/>
  <c r="AC35" i="4" a="1"/>
  <c r="BP35" i="4" a="1"/>
  <c r="CK35" i="4" a="1"/>
  <c r="CB35" i="4" a="1"/>
  <c r="CE35" i="4" a="1"/>
  <c r="CN35" i="4" a="1"/>
  <c r="CL35" i="4" a="1"/>
  <c r="BN35" i="4" a="1"/>
  <c r="AE35" i="4" a="1"/>
  <c r="CH35" i="4"/>
  <c r="CM35" i="4" a="1"/>
  <c r="CG35" i="4" a="1"/>
  <c r="CC35" i="4" a="1"/>
  <c r="CT35" i="4"/>
  <c r="CQ35" i="4"/>
  <c r="AK35" i="4" a="1"/>
  <c r="CF35" i="4" a="1"/>
  <c r="CJ35" i="4" a="1"/>
  <c r="CD35" i="4" a="1"/>
  <c r="CN44" i="4" a="1"/>
  <c r="CF44" i="4" a="1"/>
  <c r="CK44" i="4" a="1"/>
  <c r="CQ44" i="4"/>
  <c r="CJ44" i="4" a="1"/>
  <c r="AE44" i="4" a="1"/>
  <c r="CT44" i="4"/>
  <c r="CG44" i="4" a="1"/>
  <c r="AC44" i="4" a="1"/>
  <c r="AK44" i="4" a="1"/>
  <c r="BN44" i="4" a="1"/>
  <c r="CD44" i="4" a="1"/>
  <c r="CM44" i="4" a="1"/>
  <c r="CE44" i="4" a="1"/>
  <c r="CI44" i="4" a="1"/>
  <c r="AM44" i="4" a="1"/>
  <c r="CC44" i="4" a="1"/>
  <c r="CL44" i="4" a="1"/>
  <c r="CB44" i="4" a="1"/>
  <c r="BP44" i="4" a="1"/>
  <c r="CH44" i="4"/>
  <c r="CC26" i="4" a="1"/>
  <c r="CT26" i="4"/>
  <c r="CQ26" i="4"/>
  <c r="CB26" i="4" a="1"/>
  <c r="CF26" i="4" a="1"/>
  <c r="AM26" i="4" a="1"/>
  <c r="CN26" i="4" a="1"/>
  <c r="CJ26" i="4" a="1"/>
  <c r="AC26" i="4" a="1"/>
  <c r="CK26" i="4" a="1"/>
  <c r="BN26" i="4" a="1"/>
  <c r="CG26" i="4" a="1"/>
  <c r="CH26" i="4"/>
  <c r="AK26" i="4" a="1"/>
  <c r="BP26" i="4" a="1"/>
  <c r="CE26" i="4" a="1"/>
  <c r="CD26" i="4" a="1"/>
  <c r="CI26" i="4" a="1"/>
  <c r="CL26" i="4" a="1"/>
  <c r="AE26" i="4" a="1"/>
  <c r="CM26" i="4" a="1"/>
  <c r="CG42" i="4" a="1"/>
  <c r="CH42" i="4"/>
  <c r="CL42" i="4" a="1"/>
  <c r="CI42" i="4" a="1"/>
  <c r="CM42" i="4" a="1"/>
  <c r="AM42" i="4" a="1"/>
  <c r="CC42" i="4" a="1"/>
  <c r="CF42" i="4" a="1"/>
  <c r="CQ42" i="4"/>
  <c r="CJ42" i="4" a="1"/>
  <c r="CD42" i="4" a="1"/>
  <c r="BP42" i="4" a="1"/>
  <c r="AE42" i="4" a="1"/>
  <c r="AK42" i="4" a="1"/>
  <c r="CT42" i="4"/>
  <c r="AC42" i="4" a="1"/>
  <c r="CE42" i="4" a="1"/>
  <c r="CN42" i="4" a="1"/>
  <c r="BN42" i="4" a="1"/>
  <c r="CB42" i="4" a="1"/>
  <c r="CK42" i="4" a="1"/>
  <c r="AE92" i="4" a="1"/>
  <c r="CI92" i="4" a="1"/>
  <c r="AK92" i="4" a="1"/>
  <c r="BN92" i="4" a="1"/>
  <c r="AC92" i="4" a="1"/>
  <c r="CE92" i="4" a="1"/>
  <c r="CF92" i="4" a="1"/>
  <c r="CL92" i="4" a="1"/>
  <c r="CG92" i="4" a="1"/>
  <c r="CH92" i="4"/>
  <c r="CD92" i="4" a="1"/>
  <c r="CJ92" i="4" a="1"/>
  <c r="BP92" i="4" a="1"/>
  <c r="AM92" i="4" a="1"/>
  <c r="CQ92" i="4"/>
  <c r="CC92" i="4" a="1"/>
  <c r="CN92" i="4" a="1"/>
  <c r="CT92" i="4"/>
  <c r="CK92" i="4" a="1"/>
  <c r="CM92" i="4" a="1"/>
  <c r="CB92" i="4" a="1"/>
  <c r="CC70" i="4" a="1"/>
  <c r="CG70" i="4" a="1"/>
  <c r="AM70" i="4" a="1"/>
  <c r="CL70" i="4" a="1"/>
  <c r="CI70" i="4" a="1"/>
  <c r="AK70" i="4" a="1"/>
  <c r="BN70" i="4" a="1"/>
  <c r="AC70" i="4" a="1"/>
  <c r="BP70" i="4" a="1"/>
  <c r="CQ70" i="4"/>
  <c r="CK70" i="4" a="1"/>
  <c r="CH70" i="4"/>
  <c r="AE70" i="4" a="1"/>
  <c r="CN70" i="4" a="1"/>
  <c r="CB70" i="4" a="1"/>
  <c r="CJ70" i="4" a="1"/>
  <c r="CT70" i="4"/>
  <c r="CE70" i="4" a="1"/>
  <c r="CM70" i="4" a="1"/>
  <c r="CD70" i="4" a="1"/>
  <c r="CF70" i="4" a="1"/>
  <c r="AE75" i="4" a="1"/>
  <c r="CB75" i="4" a="1"/>
  <c r="CI75" i="4" a="1"/>
  <c r="AC75" i="4" a="1"/>
  <c r="CM75" i="4" a="1"/>
  <c r="CG75" i="4" a="1"/>
  <c r="BP75" i="4" a="1"/>
  <c r="CJ75" i="4" a="1"/>
  <c r="AM75" i="4" a="1"/>
  <c r="CQ75" i="4"/>
  <c r="CH75" i="4"/>
  <c r="CL75" i="4" a="1"/>
  <c r="CT75" i="4"/>
  <c r="CF75" i="4" a="1"/>
  <c r="AK75" i="4" a="1"/>
  <c r="BN75" i="4" a="1"/>
  <c r="CD75" i="4" a="1"/>
  <c r="CK75" i="4" a="1"/>
  <c r="CN75" i="4" a="1"/>
  <c r="CC75" i="4" a="1"/>
  <c r="CE75" i="4" a="1"/>
  <c r="BP34" i="4" a="1"/>
  <c r="CI34" i="4" a="1"/>
  <c r="CG34" i="4" a="1"/>
  <c r="CT34" i="4"/>
  <c r="AK34" i="4" a="1"/>
  <c r="CK34" i="4" a="1"/>
  <c r="CB34" i="4" a="1"/>
  <c r="CC34" i="4" a="1"/>
  <c r="CE34" i="4" a="1"/>
  <c r="CD34" i="4" a="1"/>
  <c r="CQ34" i="4"/>
  <c r="CM34" i="4" a="1"/>
  <c r="CJ34" i="4" a="1"/>
  <c r="AE34" i="4" a="1"/>
  <c r="AM34" i="4" a="1"/>
  <c r="BN34" i="4" a="1"/>
  <c r="CL34" i="4" a="1"/>
  <c r="CF34" i="4" a="1"/>
  <c r="CN34" i="4" a="1"/>
  <c r="AC34" i="4" a="1"/>
  <c r="CH34" i="4"/>
  <c r="CI56" i="4" a="1"/>
  <c r="CC56" i="4" a="1"/>
  <c r="CB56" i="4" a="1"/>
  <c r="CM56" i="4" a="1"/>
  <c r="AC56" i="4" a="1"/>
  <c r="CK56" i="4" a="1"/>
  <c r="CE56" i="4" a="1"/>
  <c r="CN56" i="4" a="1"/>
  <c r="CF56" i="4" a="1"/>
  <c r="CQ56" i="4"/>
  <c r="CL56" i="4" a="1"/>
  <c r="CH56" i="4"/>
  <c r="CT56" i="4"/>
  <c r="BP56" i="4" a="1"/>
  <c r="BN56" i="4" a="1"/>
  <c r="CD56" i="4" a="1"/>
  <c r="CJ56" i="4" a="1"/>
  <c r="AK56" i="4" a="1"/>
  <c r="CG56" i="4" a="1"/>
  <c r="AE56" i="4" a="1"/>
  <c r="AM56" i="4" a="1"/>
  <c r="B58" i="1" a="1"/>
  <c r="CJ12" i="4" a="1"/>
  <c r="CK12" i="4" a="1"/>
  <c r="BN12" i="4" a="1"/>
  <c r="CT12" i="4"/>
  <c r="CI12" i="4" a="1"/>
  <c r="CH12" i="4"/>
  <c r="CG12" i="4" a="1"/>
  <c r="AC12" i="4" a="1"/>
  <c r="CL12" i="4" a="1"/>
  <c r="CE12" i="4" a="1"/>
  <c r="AE12" i="4" a="1"/>
  <c r="AK12" i="4" a="1"/>
  <c r="BP12" i="4" a="1"/>
  <c r="CN12" i="4" a="1"/>
  <c r="CQ12" i="4"/>
  <c r="CD12" i="4" a="1"/>
  <c r="CF12" i="4" a="1"/>
  <c r="CC12" i="4" a="1"/>
  <c r="CM12" i="4" a="1"/>
  <c r="CB12" i="4" a="1"/>
  <c r="AM12" i="4" a="1"/>
  <c r="CQ65" i="4"/>
  <c r="BP65" i="4" a="1"/>
  <c r="CT65" i="4"/>
  <c r="CG65" i="4" a="1"/>
  <c r="CC65" i="4" a="1"/>
  <c r="AK65" i="4" a="1"/>
  <c r="CK65" i="4" a="1"/>
  <c r="AE65" i="4" a="1"/>
  <c r="AM65" i="4" a="1"/>
  <c r="CL65" i="4" a="1"/>
  <c r="AC65" i="4" a="1"/>
  <c r="CH65" i="4"/>
  <c r="CJ65" i="4" a="1"/>
  <c r="CN65" i="4" a="1"/>
  <c r="CE65" i="4" a="1"/>
  <c r="CI65" i="4" a="1"/>
  <c r="BN65" i="4" a="1"/>
  <c r="CB65" i="4" a="1"/>
  <c r="CM65" i="4" a="1"/>
  <c r="CD65" i="4" a="1"/>
  <c r="CF65" i="4" a="1"/>
  <c r="CC5" i="4" a="1"/>
  <c r="CH5" i="4"/>
  <c r="CN5" i="4" a="1"/>
  <c r="CQ5" i="4"/>
  <c r="CT5" i="4"/>
  <c r="AC5" i="4" a="1"/>
  <c r="CG5" i="4" a="1"/>
  <c r="CF5" i="4" a="1"/>
  <c r="CI5" i="4" a="1"/>
  <c r="CK5" i="4" a="1"/>
  <c r="AE5" i="4" a="1"/>
  <c r="CB5" i="4" a="1"/>
  <c r="BN5" i="4" a="1"/>
  <c r="BP5" i="4" a="1"/>
  <c r="CJ5" i="4" a="1"/>
  <c r="CL5" i="4" a="1"/>
  <c r="AM5" i="4" a="1"/>
  <c r="CE5" i="4" a="1"/>
  <c r="CD5" i="4" a="1"/>
  <c r="CM5" i="4" a="1"/>
  <c r="AK5" i="4" a="1"/>
  <c r="BP39" i="4" a="1"/>
  <c r="AM39" i="4" a="1"/>
  <c r="CG39" i="4" a="1"/>
  <c r="CE39" i="4" a="1"/>
  <c r="CT39" i="4"/>
  <c r="AE39" i="4" a="1"/>
  <c r="CC39" i="4" a="1"/>
  <c r="BN39" i="4" a="1"/>
  <c r="CH39" i="4"/>
  <c r="CF39" i="4" a="1"/>
  <c r="CN39" i="4" a="1"/>
  <c r="CL39" i="4" a="1"/>
  <c r="CB39" i="4" a="1"/>
  <c r="CK39" i="4" a="1"/>
  <c r="AK39" i="4" a="1"/>
  <c r="CI39" i="4" a="1"/>
  <c r="CM39" i="4" a="1"/>
  <c r="AC39" i="4" a="1"/>
  <c r="CQ39" i="4"/>
  <c r="CD39" i="4" a="1"/>
  <c r="CJ39" i="4" a="1"/>
  <c r="AA58" i="4" a="1"/>
  <c r="AB58" i="4" a="1"/>
  <c r="CF80" i="4" a="1"/>
  <c r="AC80" i="4" a="1"/>
  <c r="AE80" i="4" a="1"/>
  <c r="CB80" i="4" a="1"/>
  <c r="AM80" i="4" a="1"/>
  <c r="CT80" i="4"/>
  <c r="CH80" i="4"/>
  <c r="CG80" i="4" a="1"/>
  <c r="CE80" i="4" a="1"/>
  <c r="CM80" i="4" a="1"/>
  <c r="CN80" i="4" a="1"/>
  <c r="AK80" i="4" a="1"/>
  <c r="CL80" i="4" a="1"/>
  <c r="CI80" i="4" a="1"/>
  <c r="BP80" i="4" a="1"/>
  <c r="CD80" i="4" a="1"/>
  <c r="CJ80" i="4" a="1"/>
  <c r="CC80" i="4" a="1"/>
  <c r="CK80" i="4" a="1"/>
  <c r="BN80" i="4" a="1"/>
  <c r="CQ80" i="4"/>
  <c r="CN46" i="4" a="1"/>
  <c r="CF46" i="4" a="1"/>
  <c r="CG46" i="4" a="1"/>
  <c r="CT46" i="4"/>
  <c r="BN46" i="4" a="1"/>
  <c r="CH46" i="4"/>
  <c r="CL46" i="4" a="1"/>
  <c r="AK46" i="4" a="1"/>
  <c r="AC46" i="4" a="1"/>
  <c r="CC46" i="4" a="1"/>
  <c r="BP46" i="4" a="1"/>
  <c r="CK46" i="4" a="1"/>
  <c r="CJ46" i="4" a="1"/>
  <c r="CM46" i="4" a="1"/>
  <c r="CE46" i="4" a="1"/>
  <c r="CD46" i="4" a="1"/>
  <c r="AE46" i="4" a="1"/>
  <c r="CI46" i="4" a="1"/>
  <c r="CB46" i="4" a="1"/>
  <c r="AM46" i="4" a="1"/>
  <c r="CQ46" i="4"/>
  <c r="CH82" i="4"/>
  <c r="CC82" i="4" a="1"/>
  <c r="CM82" i="4" a="1"/>
  <c r="BP82" i="4" a="1"/>
  <c r="CB82" i="4" a="1"/>
  <c r="CN82" i="4" a="1"/>
  <c r="CE82" i="4" a="1"/>
  <c r="CQ82" i="4"/>
  <c r="AE82" i="4" a="1"/>
  <c r="CG82" i="4" a="1"/>
  <c r="CK82" i="4" a="1"/>
  <c r="CD82" i="4" a="1"/>
  <c r="CT82" i="4"/>
  <c r="BN82" i="4" a="1"/>
  <c r="AK82" i="4" a="1"/>
  <c r="AC82" i="4" a="1"/>
  <c r="CL82" i="4" a="1"/>
  <c r="CI82" i="4" a="1"/>
  <c r="CJ82" i="4" a="1"/>
  <c r="CF82" i="4" a="1"/>
  <c r="AM82" i="4" a="1"/>
  <c r="CD30" i="4" a="1"/>
  <c r="CT30" i="4"/>
  <c r="CK30" i="4" a="1"/>
  <c r="CF30" i="4" a="1"/>
  <c r="CM30" i="4" a="1"/>
  <c r="CC30" i="4" a="1"/>
  <c r="CI30" i="4" a="1"/>
  <c r="CN30" i="4" a="1"/>
  <c r="CE30" i="4" a="1"/>
  <c r="AM30" i="4" a="1"/>
  <c r="CQ30" i="4"/>
  <c r="AK30" i="4" a="1"/>
  <c r="BP30" i="4" a="1"/>
  <c r="CH30" i="4"/>
  <c r="CL30" i="4" a="1"/>
  <c r="AC30" i="4" a="1"/>
  <c r="CB30" i="4" a="1"/>
  <c r="BN30" i="4" a="1"/>
  <c r="CG30" i="4" a="1"/>
  <c r="CJ30" i="4" a="1"/>
  <c r="AE30" i="4" a="1"/>
  <c r="CG20" i="4" a="1"/>
  <c r="AC20" i="4" a="1"/>
  <c r="CT20" i="4"/>
  <c r="CC20" i="4" a="1"/>
  <c r="CL20" i="4" a="1"/>
  <c r="CI20" i="4" a="1"/>
  <c r="CE20" i="4" a="1"/>
  <c r="BP20" i="4" a="1"/>
  <c r="CK20" i="4" a="1"/>
  <c r="CN20" i="4" a="1"/>
  <c r="CJ20" i="4" a="1"/>
  <c r="AK20" i="4" a="1"/>
  <c r="CQ20" i="4"/>
  <c r="CB20" i="4" a="1"/>
  <c r="CD20" i="4" a="1"/>
  <c r="AM20" i="4" a="1"/>
  <c r="AE20" i="4" a="1"/>
  <c r="CH20" i="4"/>
  <c r="CF20" i="4" a="1"/>
  <c r="CM20" i="4" a="1"/>
  <c r="BN20" i="4" a="1"/>
  <c r="CL33" i="4" a="1"/>
  <c r="CC33" i="4" a="1"/>
  <c r="CM33" i="4" a="1"/>
  <c r="CF33" i="4" a="1"/>
  <c r="CG33" i="4" a="1"/>
  <c r="CE33" i="4" a="1"/>
  <c r="AM33" i="4" a="1"/>
  <c r="CD33" i="4" a="1"/>
  <c r="CH33" i="4"/>
  <c r="BN33" i="4" a="1"/>
  <c r="CI33" i="4" a="1"/>
  <c r="BP33" i="4" a="1"/>
  <c r="CN33" i="4" a="1"/>
  <c r="AC33" i="4" a="1"/>
  <c r="CK33" i="4" a="1"/>
  <c r="CT33" i="4"/>
  <c r="AK33" i="4" a="1"/>
  <c r="AE33" i="4" a="1"/>
  <c r="CB33" i="4" a="1"/>
  <c r="CQ33" i="4"/>
  <c r="CJ33" i="4" a="1"/>
  <c r="CG53" i="4" a="1"/>
  <c r="BN53" i="4" a="1"/>
  <c r="CK53" i="4" a="1"/>
  <c r="CF53" i="4" a="1"/>
  <c r="CT53" i="4"/>
  <c r="AC53" i="4" a="1"/>
  <c r="CH53" i="4"/>
  <c r="CQ53" i="4"/>
  <c r="CD53" i="4" a="1"/>
  <c r="AM53" i="4" a="1"/>
  <c r="CN53" i="4" a="1"/>
  <c r="CM53" i="4" a="1"/>
  <c r="AE53" i="4" a="1"/>
  <c r="CC53" i="4" a="1"/>
  <c r="CL53" i="4" a="1"/>
  <c r="CI53" i="4" a="1"/>
  <c r="CE53" i="4" a="1"/>
  <c r="BP53" i="4" a="1"/>
  <c r="CB53" i="4" a="1"/>
  <c r="AK53" i="4" a="1"/>
  <c r="CJ53" i="4" a="1"/>
  <c r="AC85" i="4" a="1"/>
  <c r="CQ85" i="4"/>
  <c r="AK85" i="4" a="1"/>
  <c r="CD85" i="4" a="1"/>
  <c r="AM85" i="4" a="1"/>
  <c r="CG85" i="4" a="1"/>
  <c r="BN85" i="4" a="1"/>
  <c r="CK85" i="4" a="1"/>
  <c r="CF85" i="4" a="1"/>
  <c r="CT85" i="4"/>
  <c r="AE85" i="4" a="1"/>
  <c r="CB85" i="4" a="1"/>
  <c r="CC85" i="4" a="1"/>
  <c r="CJ85" i="4" a="1"/>
  <c r="CM85" i="4" a="1"/>
  <c r="BP85" i="4" a="1"/>
  <c r="CI85" i="4" a="1"/>
  <c r="CN85" i="4" a="1"/>
  <c r="CL85" i="4" a="1"/>
  <c r="CE85" i="4" a="1"/>
  <c r="CH85" i="4"/>
  <c r="CP79" i="4" a="1"/>
  <c r="CO79" i="4" a="1"/>
  <c r="CS79" i="4" a="1"/>
  <c r="CR79" i="4" a="1"/>
  <c r="CR14" i="4" a="1"/>
  <c r="CS14" i="4" a="1"/>
  <c r="CP14" i="4" a="1"/>
  <c r="CO14" i="4" a="1"/>
  <c r="CR43" i="4" a="1"/>
  <c r="CS43" i="4" a="1"/>
  <c r="CO43" i="4" a="1"/>
  <c r="CP43" i="4" a="1"/>
  <c r="CR74" i="4" a="1"/>
  <c r="CS74" i="4" a="1"/>
  <c r="CO74" i="4" a="1"/>
  <c r="CP74" i="4" a="1"/>
  <c r="CR47" i="4" a="1"/>
  <c r="CS47" i="4" a="1"/>
  <c r="CP47" i="4" a="1"/>
  <c r="CO47" i="4" a="1"/>
  <c r="CR13" i="4" a="1"/>
  <c r="CS13" i="4" a="1"/>
  <c r="CO13" i="4" a="1"/>
  <c r="CP13" i="4" a="1"/>
  <c r="CO84" i="4" a="1"/>
  <c r="CP84" i="4" a="1"/>
  <c r="CS84" i="4" a="1"/>
  <c r="CR84" i="4" a="1"/>
  <c r="CP16" i="4" a="1"/>
  <c r="CO16" i="4" a="1"/>
  <c r="CR16" i="4" a="1"/>
  <c r="CS16" i="4" a="1"/>
  <c r="CP77" i="4" a="1"/>
  <c r="CO77" i="4" a="1"/>
  <c r="CS77" i="4" a="1"/>
  <c r="CR77" i="4" a="1"/>
  <c r="CO27" i="4" a="1"/>
  <c r="CP27" i="4" a="1"/>
  <c r="CR27" i="4" a="1"/>
  <c r="CS27" i="4" a="1"/>
  <c r="CO54" i="4" a="1"/>
  <c r="CP54" i="4" a="1"/>
  <c r="CR54" i="4" a="1"/>
  <c r="CS54" i="4" a="1"/>
  <c r="CP78" i="4" a="1"/>
  <c r="CO78" i="4" a="1"/>
  <c r="CR78" i="4" a="1"/>
  <c r="CS78" i="4" a="1"/>
  <c r="CS40" i="4" a="1"/>
  <c r="CR40" i="4" a="1"/>
  <c r="CO40" i="4" a="1"/>
  <c r="CP40" i="4" a="1"/>
  <c r="CO88" i="4" a="1"/>
  <c r="CP88" i="4" a="1"/>
  <c r="CS88" i="4" a="1"/>
  <c r="CR88" i="4" a="1"/>
  <c r="CP91" i="4" a="1"/>
  <c r="CO91" i="4" a="1"/>
  <c r="CS91" i="4" a="1"/>
  <c r="CR91" i="4" a="1"/>
  <c r="CS76" i="4" a="1"/>
  <c r="CR76" i="4" a="1"/>
  <c r="CO76" i="4" a="1"/>
  <c r="CP76" i="4" a="1"/>
  <c r="CS37" i="4" a="1"/>
  <c r="CR37" i="4" a="1"/>
  <c r="CO37" i="4" a="1"/>
  <c r="CP37" i="4" a="1"/>
  <c r="CS45" i="4" a="1"/>
  <c r="CR45" i="4" a="1"/>
  <c r="CP45" i="4" a="1"/>
  <c r="CO45" i="4" a="1"/>
  <c r="CR64" i="4" a="1"/>
  <c r="CS64" i="4" a="1"/>
  <c r="CO64" i="4" a="1"/>
  <c r="CP64" i="4" a="1"/>
  <c r="CO61" i="4" a="1"/>
  <c r="CP61" i="4" a="1"/>
  <c r="CS61" i="4" a="1"/>
  <c r="CR61" i="4" a="1"/>
  <c r="CO17" i="4" a="1"/>
  <c r="CP17" i="4" a="1"/>
  <c r="CS17" i="4" a="1"/>
  <c r="CR17" i="4" a="1"/>
  <c r="CP8" i="4" a="1"/>
  <c r="CO8" i="4" a="1"/>
  <c r="CR8" i="4" a="1"/>
  <c r="CS8" i="4" a="1"/>
  <c r="CP15" i="4" a="1"/>
  <c r="CO15" i="4" a="1"/>
  <c r="CR15" i="4" a="1"/>
  <c r="CS15" i="4" a="1"/>
  <c r="CP18" i="4" a="1"/>
  <c r="CO18" i="4" a="1"/>
  <c r="CR18" i="4" a="1"/>
  <c r="CS18" i="4" a="1"/>
  <c r="CR29" i="4" a="1"/>
  <c r="CS29" i="4" a="1"/>
  <c r="CP29" i="4" a="1"/>
  <c r="CO29" i="4" a="1"/>
  <c r="CS59" i="4" a="1"/>
  <c r="CR59" i="4" a="1"/>
  <c r="CO59" i="4" a="1"/>
  <c r="CP59" i="4" a="1"/>
  <c r="CS62" i="4" a="1"/>
  <c r="CR62" i="4" a="1"/>
  <c r="CO62" i="4" a="1"/>
  <c r="CP62" i="4" a="1"/>
  <c r="CO57" i="4" a="1"/>
  <c r="CP57" i="4" a="1"/>
  <c r="CS57" i="4" a="1"/>
  <c r="CR57" i="4" a="1"/>
  <c r="CS7" i="4" a="1"/>
  <c r="CR7" i="4" a="1"/>
  <c r="CO7" i="4" a="1"/>
  <c r="CP7" i="4" a="1"/>
  <c r="CR89" i="4" a="1"/>
  <c r="CS89" i="4" a="1"/>
  <c r="CO89" i="4" a="1"/>
  <c r="CP89" i="4" a="1"/>
  <c r="CS21" i="4" a="1"/>
  <c r="CR21" i="4" a="1"/>
  <c r="CP21" i="4" a="1"/>
  <c r="CO21" i="4" a="1"/>
  <c r="CS6" i="4" a="1"/>
  <c r="CR6" i="4" a="1"/>
  <c r="CP6" i="4" a="1"/>
  <c r="CO6" i="4" a="1"/>
  <c r="CP73" i="4" a="1"/>
  <c r="CO73" i="4" a="1"/>
  <c r="CR73" i="4" a="1"/>
  <c r="CS73" i="4" a="1"/>
  <c r="CR38" i="4" a="1"/>
  <c r="CS38" i="4" a="1"/>
  <c r="CO38" i="4" a="1"/>
  <c r="CP38" i="4" a="1"/>
  <c r="CP36" i="4" a="1"/>
  <c r="CO36" i="4" a="1"/>
  <c r="CS36" i="4" a="1"/>
  <c r="CR36" i="4" a="1"/>
  <c r="CS69" i="4" a="1"/>
  <c r="CR69" i="4" a="1"/>
  <c r="CO69" i="4" a="1"/>
  <c r="CP69" i="4" a="1"/>
  <c r="CS81" i="4" a="1"/>
  <c r="CR81" i="4" a="1"/>
  <c r="CO81" i="4" a="1"/>
  <c r="CP81" i="4" a="1"/>
  <c r="CS90" i="4" a="1"/>
  <c r="CR90" i="4" a="1"/>
  <c r="CP90" i="4" a="1"/>
  <c r="CO90" i="4" a="1"/>
  <c r="CP67" i="4" a="1"/>
  <c r="CO67" i="4" a="1"/>
  <c r="CR67" i="4" a="1"/>
  <c r="CS67" i="4" a="1"/>
  <c r="CO72" i="4" a="1"/>
  <c r="CP72" i="4" a="1"/>
  <c r="CS72" i="4" a="1"/>
  <c r="CR72" i="4" a="1"/>
  <c r="CS52" i="4" a="1"/>
  <c r="CR52" i="4" a="1"/>
  <c r="CP52" i="4" a="1"/>
  <c r="CO52" i="4" a="1"/>
  <c r="CP28" i="4" a="1"/>
  <c r="CO28" i="4" a="1"/>
  <c r="CS28" i="4" a="1"/>
  <c r="CR28" i="4" a="1"/>
  <c r="CP22" i="4" a="1"/>
  <c r="CO22" i="4" a="1"/>
  <c r="CS22" i="4" a="1"/>
  <c r="CR22" i="4" a="1"/>
  <c r="CP66" i="4" a="1"/>
  <c r="CO66" i="4" a="1"/>
  <c r="CS66" i="4" a="1"/>
  <c r="CR66" i="4" a="1"/>
  <c r="CR11" i="4" a="1"/>
  <c r="CS11" i="4" a="1"/>
  <c r="CP11" i="4" a="1"/>
  <c r="CO11" i="4" a="1"/>
  <c r="CP31" i="4" a="1"/>
  <c r="CO31" i="4" a="1"/>
  <c r="CS31" i="4" a="1"/>
  <c r="CR31" i="4" a="1"/>
  <c r="CS48" i="4" a="1"/>
  <c r="CR48" i="4" a="1"/>
  <c r="CO48" i="4" a="1"/>
  <c r="CP48" i="4" a="1"/>
  <c r="CS24" i="4" a="1"/>
  <c r="CR24" i="4" a="1"/>
  <c r="CP24" i="4" a="1"/>
  <c r="CO24" i="4" a="1"/>
  <c r="CS71" i="4" a="1"/>
  <c r="CR71" i="4" a="1"/>
  <c r="CO71" i="4" a="1"/>
  <c r="CP71" i="4" a="1"/>
  <c r="CO87" i="4" a="1"/>
  <c r="CP87" i="4" a="1"/>
  <c r="CR87" i="4" a="1"/>
  <c r="CS87" i="4" a="1"/>
  <c r="CP83" i="4" a="1"/>
  <c r="CO83" i="4" a="1"/>
  <c r="CS83" i="4" a="1"/>
  <c r="CR83" i="4" a="1"/>
  <c r="CR68" i="4" a="1"/>
  <c r="CS68" i="4" a="1"/>
  <c r="CP68" i="4" a="1"/>
  <c r="CO68" i="4" a="1"/>
  <c r="CS50" i="4" a="1"/>
  <c r="CR50" i="4" a="1"/>
  <c r="CO50" i="4" a="1"/>
  <c r="CP50" i="4" a="1"/>
  <c r="CS86" i="4" a="1"/>
  <c r="CR86" i="4" a="1"/>
  <c r="CP86" i="4" a="1"/>
  <c r="CO86" i="4" a="1"/>
  <c r="CR19" i="4" a="1"/>
  <c r="CS19" i="4" a="1"/>
  <c r="CP19" i="4" a="1"/>
  <c r="CO19" i="4" a="1"/>
  <c r="CO49" i="4" a="1"/>
  <c r="CP49" i="4" a="1"/>
  <c r="CS49" i="4" a="1"/>
  <c r="CR49" i="4" a="1"/>
  <c r="CP25" i="4" a="1"/>
  <c r="CO25" i="4" a="1"/>
  <c r="CR25" i="4" a="1"/>
  <c r="CS25" i="4" a="1"/>
  <c r="CO63" i="4" a="1"/>
  <c r="CP63" i="4" a="1"/>
  <c r="CR63" i="4" a="1"/>
  <c r="CS63" i="4" a="1"/>
  <c r="CS41" i="4" a="1"/>
  <c r="CR41" i="4" a="1"/>
  <c r="CP41" i="4" a="1"/>
  <c r="CO41" i="4" a="1"/>
  <c r="CP51" i="4" a="1"/>
  <c r="CO51" i="4" a="1"/>
  <c r="CS51" i="4" a="1"/>
  <c r="CR51" i="4" a="1"/>
  <c r="CR32" i="4" a="1"/>
  <c r="CS32" i="4" a="1"/>
  <c r="CP32" i="4" a="1"/>
  <c r="CO32" i="4" a="1"/>
  <c r="CS93" i="4" a="1"/>
  <c r="CR93" i="4" a="1"/>
  <c r="CO93" i="4" a="1"/>
  <c r="CP93" i="4" a="1"/>
  <c r="CR35" i="4" a="1"/>
  <c r="CS35" i="4" a="1"/>
  <c r="CO35" i="4" a="1"/>
  <c r="CP35" i="4" a="1"/>
  <c r="CO44" i="4" a="1"/>
  <c r="CP44" i="4" a="1"/>
  <c r="CS44" i="4" a="1"/>
  <c r="CR44" i="4" a="1"/>
  <c r="CR26" i="4" a="1"/>
  <c r="CS26" i="4" a="1"/>
  <c r="CP26" i="4" a="1"/>
  <c r="CO26" i="4" a="1"/>
  <c r="CO42" i="4" a="1"/>
  <c r="CP42" i="4" a="1"/>
  <c r="CR42" i="4" a="1"/>
  <c r="CS42" i="4" a="1"/>
  <c r="CP92" i="4" a="1"/>
  <c r="CO92" i="4" a="1"/>
  <c r="CS92" i="4" a="1"/>
  <c r="CR92" i="4" a="1"/>
  <c r="CO70" i="4" a="1"/>
  <c r="CP70" i="4" a="1"/>
  <c r="CS70" i="4" a="1"/>
  <c r="CR70" i="4" a="1"/>
  <c r="CP75" i="4" a="1"/>
  <c r="CO75" i="4" a="1"/>
  <c r="CS75" i="4" a="1"/>
  <c r="CR75" i="4" a="1"/>
  <c r="CS34" i="4" a="1"/>
  <c r="CR34" i="4" a="1"/>
  <c r="CP34" i="4" a="1"/>
  <c r="CO34" i="4" a="1"/>
  <c r="CO56" i="4" a="1"/>
  <c r="CP56" i="4" a="1"/>
  <c r="CS56" i="4" a="1"/>
  <c r="CR56" i="4" a="1"/>
  <c r="CS12" i="4" a="1"/>
  <c r="CR12" i="4" a="1"/>
  <c r="CP12" i="4" a="1"/>
  <c r="CO12" i="4" a="1"/>
  <c r="CP65" i="4" a="1"/>
  <c r="CO65" i="4" a="1"/>
  <c r="CR65" i="4" a="1"/>
  <c r="CS65" i="4" a="1"/>
  <c r="CP5" i="4" a="1"/>
  <c r="CO5" i="4" a="1"/>
  <c r="CR5" i="4" a="1"/>
  <c r="CS5" i="4" a="1"/>
  <c r="CS39" i="4" a="1"/>
  <c r="CR39" i="4" a="1"/>
  <c r="CO39" i="4" a="1"/>
  <c r="CP39" i="4" a="1"/>
  <c r="CR80" i="4" a="1"/>
  <c r="CS80" i="4" a="1"/>
  <c r="CO80" i="4" a="1"/>
  <c r="CP80" i="4" a="1"/>
  <c r="CR46" i="4" a="1"/>
  <c r="CS46" i="4" a="1"/>
  <c r="CP46" i="4" a="1"/>
  <c r="CO46" i="4" a="1"/>
  <c r="CO82" i="4" a="1"/>
  <c r="CP82" i="4" a="1"/>
  <c r="CS82" i="4" a="1"/>
  <c r="CR82" i="4" a="1"/>
  <c r="CR30" i="4" a="1"/>
  <c r="CS30" i="4" a="1"/>
  <c r="CO30" i="4" a="1"/>
  <c r="CP30" i="4" a="1"/>
  <c r="CS20" i="4" a="1"/>
  <c r="CR20" i="4" a="1"/>
  <c r="CO20" i="4" a="1"/>
  <c r="CP20" i="4" a="1"/>
  <c r="CS33" i="4" a="1"/>
  <c r="CR33" i="4" a="1"/>
  <c r="CP33" i="4" a="1"/>
  <c r="CO33" i="4" a="1"/>
  <c r="CS53" i="4" a="1"/>
  <c r="CR53" i="4" a="1"/>
  <c r="CP53" i="4" a="1"/>
  <c r="CO53" i="4" a="1"/>
  <c r="CO85" i="4" a="1"/>
  <c r="CP85" i="4" a="1"/>
  <c r="CR85" i="4" a="1"/>
  <c r="CS85" i="4" a="1"/>
  <c r="B6" i="27" l="1"/>
  <c r="AS9" i="4"/>
  <c r="AV611" i="13" s="1"/>
  <c r="CS85" i="4"/>
  <c r="CR85" i="4"/>
  <c r="CP85" i="4"/>
  <c r="CO85" i="4"/>
  <c r="CO53" i="4"/>
  <c r="CP53" i="4"/>
  <c r="CR53" i="4"/>
  <c r="CS53" i="4"/>
  <c r="CO33" i="4"/>
  <c r="CP33" i="4"/>
  <c r="CR33" i="4"/>
  <c r="CS33" i="4"/>
  <c r="CP20" i="4"/>
  <c r="CO20" i="4"/>
  <c r="CR20" i="4"/>
  <c r="CS20" i="4"/>
  <c r="CP30" i="4"/>
  <c r="CO30" i="4"/>
  <c r="CS30" i="4"/>
  <c r="CR30" i="4"/>
  <c r="CR82" i="4"/>
  <c r="CS82" i="4"/>
  <c r="CP82" i="4"/>
  <c r="CO82" i="4"/>
  <c r="CO46" i="4"/>
  <c r="CP46" i="4"/>
  <c r="CS46" i="4"/>
  <c r="CR46" i="4"/>
  <c r="CP80" i="4"/>
  <c r="CO80" i="4"/>
  <c r="CS80" i="4"/>
  <c r="CR80" i="4"/>
  <c r="CP39" i="4"/>
  <c r="CO39" i="4"/>
  <c r="CR39" i="4"/>
  <c r="CS39" i="4"/>
  <c r="CS5" i="4"/>
  <c r="CR5" i="4"/>
  <c r="CO5" i="4"/>
  <c r="CP5" i="4"/>
  <c r="CS65" i="4"/>
  <c r="CR65" i="4"/>
  <c r="CO65" i="4"/>
  <c r="CP65" i="4"/>
  <c r="CO12" i="4"/>
  <c r="CP12" i="4"/>
  <c r="CR12" i="4"/>
  <c r="CS12" i="4"/>
  <c r="CR56" i="4"/>
  <c r="CS56" i="4"/>
  <c r="CP56" i="4"/>
  <c r="CO56" i="4"/>
  <c r="CO34" i="4"/>
  <c r="CP34" i="4"/>
  <c r="CR34" i="4"/>
  <c r="CS34" i="4"/>
  <c r="CR75" i="4"/>
  <c r="CS75" i="4"/>
  <c r="CO75" i="4"/>
  <c r="CP75" i="4"/>
  <c r="CR70" i="4"/>
  <c r="CS70" i="4"/>
  <c r="CP70" i="4"/>
  <c r="CO70" i="4"/>
  <c r="CR92" i="4"/>
  <c r="CS92" i="4"/>
  <c r="CO92" i="4"/>
  <c r="CP92" i="4"/>
  <c r="CS42" i="4"/>
  <c r="CR42" i="4"/>
  <c r="CP42" i="4"/>
  <c r="CO42" i="4"/>
  <c r="CO26" i="4"/>
  <c r="CP26" i="4"/>
  <c r="CS26" i="4"/>
  <c r="CR26" i="4"/>
  <c r="CR44" i="4"/>
  <c r="CS44" i="4"/>
  <c r="CP44" i="4"/>
  <c r="CO44" i="4"/>
  <c r="CP35" i="4"/>
  <c r="CO35" i="4"/>
  <c r="CS35" i="4"/>
  <c r="CR35" i="4"/>
  <c r="CP93" i="4"/>
  <c r="CO93" i="4"/>
  <c r="CR93" i="4"/>
  <c r="CS93" i="4"/>
  <c r="CO32" i="4"/>
  <c r="CP32" i="4"/>
  <c r="CS32" i="4"/>
  <c r="CR32" i="4"/>
  <c r="CR51" i="4"/>
  <c r="CS51" i="4"/>
  <c r="CO51" i="4"/>
  <c r="CP51" i="4"/>
  <c r="CO41" i="4"/>
  <c r="CP41" i="4"/>
  <c r="CR41" i="4"/>
  <c r="CS41" i="4"/>
  <c r="CS63" i="4"/>
  <c r="CR63" i="4"/>
  <c r="CP63" i="4"/>
  <c r="CO63" i="4"/>
  <c r="CS25" i="4"/>
  <c r="CR25" i="4"/>
  <c r="CO25" i="4"/>
  <c r="CP25" i="4"/>
  <c r="CR49" i="4"/>
  <c r="CS49" i="4"/>
  <c r="CP49" i="4"/>
  <c r="CO49" i="4"/>
  <c r="CO19" i="4"/>
  <c r="CP19" i="4"/>
  <c r="CS19" i="4"/>
  <c r="CR19" i="4"/>
  <c r="CO86" i="4"/>
  <c r="CP86" i="4"/>
  <c r="CR86" i="4"/>
  <c r="CS86" i="4"/>
  <c r="CP50" i="4"/>
  <c r="CO50" i="4"/>
  <c r="CR50" i="4"/>
  <c r="CS50" i="4"/>
  <c r="CO68" i="4"/>
  <c r="CP68" i="4"/>
  <c r="CS68" i="4"/>
  <c r="CR68" i="4"/>
  <c r="CR83" i="4"/>
  <c r="CS83" i="4"/>
  <c r="CO83" i="4"/>
  <c r="CP83" i="4"/>
  <c r="CS87" i="4"/>
  <c r="CR87" i="4"/>
  <c r="CP87" i="4"/>
  <c r="CO87" i="4"/>
  <c r="CP71" i="4"/>
  <c r="CO71" i="4"/>
  <c r="CR71" i="4"/>
  <c r="CS71" i="4"/>
  <c r="CO24" i="4"/>
  <c r="CP24" i="4"/>
  <c r="CR24" i="4"/>
  <c r="CS24" i="4"/>
  <c r="CP48" i="4"/>
  <c r="CO48" i="4"/>
  <c r="CR48" i="4"/>
  <c r="CS48" i="4"/>
  <c r="CR31" i="4"/>
  <c r="CS31" i="4"/>
  <c r="CO31" i="4"/>
  <c r="CP31" i="4"/>
  <c r="CO11" i="4"/>
  <c r="CP11" i="4"/>
  <c r="CS11" i="4"/>
  <c r="CR11" i="4"/>
  <c r="CR66" i="4"/>
  <c r="CS66" i="4"/>
  <c r="CO66" i="4"/>
  <c r="CP66" i="4"/>
  <c r="CR22" i="4"/>
  <c r="CS22" i="4"/>
  <c r="CO22" i="4"/>
  <c r="CP22" i="4"/>
  <c r="CR28" i="4"/>
  <c r="CS28" i="4"/>
  <c r="CO28" i="4"/>
  <c r="CP28" i="4"/>
  <c r="CO52" i="4"/>
  <c r="CP52" i="4"/>
  <c r="CR52" i="4"/>
  <c r="CS52" i="4"/>
  <c r="CR72" i="4"/>
  <c r="CS72" i="4"/>
  <c r="CP72" i="4"/>
  <c r="CO72" i="4"/>
  <c r="CS67" i="4"/>
  <c r="CR67" i="4"/>
  <c r="CO67" i="4"/>
  <c r="CP67" i="4"/>
  <c r="CO90" i="4"/>
  <c r="CP90" i="4"/>
  <c r="CR90" i="4"/>
  <c r="CS90" i="4"/>
  <c r="CP81" i="4"/>
  <c r="CO81" i="4"/>
  <c r="CR81" i="4"/>
  <c r="CS81" i="4"/>
  <c r="CP69" i="4"/>
  <c r="CO69" i="4"/>
  <c r="CR69" i="4"/>
  <c r="CS69" i="4"/>
  <c r="CR36" i="4"/>
  <c r="CS36" i="4"/>
  <c r="CO36" i="4"/>
  <c r="CP36" i="4"/>
  <c r="CP38" i="4"/>
  <c r="CO38" i="4"/>
  <c r="CS38" i="4"/>
  <c r="CR38" i="4"/>
  <c r="CS73" i="4"/>
  <c r="CR73" i="4"/>
  <c r="CO73" i="4"/>
  <c r="CP73" i="4"/>
  <c r="CO6" i="4"/>
  <c r="CP6" i="4"/>
  <c r="CR6" i="4"/>
  <c r="CS6" i="4"/>
  <c r="CO21" i="4"/>
  <c r="CP21" i="4"/>
  <c r="CR21" i="4"/>
  <c r="CS21" i="4"/>
  <c r="CP89" i="4"/>
  <c r="CO89" i="4"/>
  <c r="CS89" i="4"/>
  <c r="CR89" i="4"/>
  <c r="CP7" i="4"/>
  <c r="CO7" i="4"/>
  <c r="CR7" i="4"/>
  <c r="CS7" i="4"/>
  <c r="CR57" i="4"/>
  <c r="CS57" i="4"/>
  <c r="CP57" i="4"/>
  <c r="CO57" i="4"/>
  <c r="CP62" i="4"/>
  <c r="CO62" i="4"/>
  <c r="CR62" i="4"/>
  <c r="CS62" i="4"/>
  <c r="CP59" i="4"/>
  <c r="CO59" i="4"/>
  <c r="CR59" i="4"/>
  <c r="CS59" i="4"/>
  <c r="CO29" i="4"/>
  <c r="CP29" i="4"/>
  <c r="CS29" i="4"/>
  <c r="CR29" i="4"/>
  <c r="CS18" i="4"/>
  <c r="CR18" i="4"/>
  <c r="CO18" i="4"/>
  <c r="CP18" i="4"/>
  <c r="CS15" i="4"/>
  <c r="CR15" i="4"/>
  <c r="CO15" i="4"/>
  <c r="CP15" i="4"/>
  <c r="CS8" i="4"/>
  <c r="CR8" i="4"/>
  <c r="CO8" i="4"/>
  <c r="CP8" i="4"/>
  <c r="CR17" i="4"/>
  <c r="CS17" i="4"/>
  <c r="CP17" i="4"/>
  <c r="CO17" i="4"/>
  <c r="CR61" i="4"/>
  <c r="CS61" i="4"/>
  <c r="CP61" i="4"/>
  <c r="CO61" i="4"/>
  <c r="CP64" i="4"/>
  <c r="CO64" i="4"/>
  <c r="CS64" i="4"/>
  <c r="CR64" i="4"/>
  <c r="CO45" i="4"/>
  <c r="CP45" i="4"/>
  <c r="CR45" i="4"/>
  <c r="CS45" i="4"/>
  <c r="CP37" i="4"/>
  <c r="CO37" i="4"/>
  <c r="CR37" i="4"/>
  <c r="CS37" i="4"/>
  <c r="CP76" i="4"/>
  <c r="CO76" i="4"/>
  <c r="CR76" i="4"/>
  <c r="CS76" i="4"/>
  <c r="CR91" i="4"/>
  <c r="CS91" i="4"/>
  <c r="CO91" i="4"/>
  <c r="CP91" i="4"/>
  <c r="CR88" i="4"/>
  <c r="CS88" i="4"/>
  <c r="CP88" i="4"/>
  <c r="CO88" i="4"/>
  <c r="CP40" i="4"/>
  <c r="CO40" i="4"/>
  <c r="CR40" i="4"/>
  <c r="CS40" i="4"/>
  <c r="CS78" i="4"/>
  <c r="CR78" i="4"/>
  <c r="CO78" i="4"/>
  <c r="CP78" i="4"/>
  <c r="CS54" i="4"/>
  <c r="CR54" i="4"/>
  <c r="CP54" i="4"/>
  <c r="CO54" i="4"/>
  <c r="CS27" i="4"/>
  <c r="CR27" i="4"/>
  <c r="CP27" i="4"/>
  <c r="CO27" i="4"/>
  <c r="CR77" i="4"/>
  <c r="CS77" i="4"/>
  <c r="CO77" i="4"/>
  <c r="CP77" i="4"/>
  <c r="CS16" i="4"/>
  <c r="CR16" i="4"/>
  <c r="CO16" i="4"/>
  <c r="CP16" i="4"/>
  <c r="CR84" i="4"/>
  <c r="CS84" i="4"/>
  <c r="CP84" i="4"/>
  <c r="CO84" i="4"/>
  <c r="CP13" i="4"/>
  <c r="CO13" i="4"/>
  <c r="CS13" i="4"/>
  <c r="CR13" i="4"/>
  <c r="CO47" i="4"/>
  <c r="CP47" i="4"/>
  <c r="CS47" i="4"/>
  <c r="CR47" i="4"/>
  <c r="CP74" i="4"/>
  <c r="CO74" i="4"/>
  <c r="CS74" i="4"/>
  <c r="CR74" i="4"/>
  <c r="CP43" i="4"/>
  <c r="CO43" i="4"/>
  <c r="CS43" i="4"/>
  <c r="CR43" i="4"/>
  <c r="CO14" i="4"/>
  <c r="CP14" i="4"/>
  <c r="CS14" i="4"/>
  <c r="CR14" i="4"/>
  <c r="CR79" i="4"/>
  <c r="CS79" i="4"/>
  <c r="CO79" i="4"/>
  <c r="CP79" i="4"/>
  <c r="CE85" i="4"/>
  <c r="CL85" i="4"/>
  <c r="CN85" i="4"/>
  <c r="CI85" i="4"/>
  <c r="BP85" i="4"/>
  <c r="CM85" i="4"/>
  <c r="CJ85" i="4"/>
  <c r="CC85" i="4"/>
  <c r="CB85" i="4"/>
  <c r="AE85" i="4"/>
  <c r="CF85" i="4"/>
  <c r="CK85" i="4"/>
  <c r="BN85" i="4"/>
  <c r="CG85" i="4"/>
  <c r="AM85" i="4"/>
  <c r="CD85" i="4"/>
  <c r="AK85" i="4"/>
  <c r="AC85" i="4"/>
  <c r="CJ53" i="4"/>
  <c r="AK53" i="4"/>
  <c r="CB53" i="4"/>
  <c r="BP53" i="4"/>
  <c r="CE53" i="4"/>
  <c r="CI53" i="4"/>
  <c r="CL53" i="4"/>
  <c r="CC53" i="4"/>
  <c r="AE53" i="4"/>
  <c r="CM53" i="4"/>
  <c r="CN53" i="4"/>
  <c r="AM53" i="4"/>
  <c r="CD53" i="4"/>
  <c r="AC53" i="4"/>
  <c r="CF53" i="4"/>
  <c r="CK53" i="4"/>
  <c r="BN53" i="4"/>
  <c r="CG53" i="4"/>
  <c r="CJ33" i="4"/>
  <c r="CB33" i="4"/>
  <c r="AE33" i="4"/>
  <c r="AK33" i="4"/>
  <c r="CK33" i="4"/>
  <c r="AC33" i="4"/>
  <c r="CN33" i="4"/>
  <c r="BP33" i="4"/>
  <c r="CI33" i="4"/>
  <c r="BN33" i="4"/>
  <c r="CD33" i="4"/>
  <c r="AM33" i="4"/>
  <c r="CE33" i="4"/>
  <c r="CG33" i="4"/>
  <c r="CF33" i="4"/>
  <c r="CM33" i="4"/>
  <c r="CC33" i="4"/>
  <c r="CL33" i="4"/>
  <c r="BN20" i="4"/>
  <c r="CM20" i="4"/>
  <c r="CF20" i="4"/>
  <c r="AE20" i="4"/>
  <c r="AM20" i="4"/>
  <c r="CD20" i="4"/>
  <c r="CB20" i="4"/>
  <c r="AK20" i="4"/>
  <c r="CJ20" i="4"/>
  <c r="CN20" i="4"/>
  <c r="CK20" i="4"/>
  <c r="BP20" i="4"/>
  <c r="CE20" i="4"/>
  <c r="CI20" i="4"/>
  <c r="CL20" i="4"/>
  <c r="CC20" i="4"/>
  <c r="AC20" i="4"/>
  <c r="CG20" i="4"/>
  <c r="AE30" i="4"/>
  <c r="CJ30" i="4"/>
  <c r="CG30" i="4"/>
  <c r="BN30" i="4"/>
  <c r="CB30" i="4"/>
  <c r="AC30" i="4"/>
  <c r="CL30" i="4"/>
  <c r="BP30" i="4"/>
  <c r="AK30" i="4"/>
  <c r="AM30" i="4"/>
  <c r="CE30" i="4"/>
  <c r="CN30" i="4"/>
  <c r="CI30" i="4"/>
  <c r="CC30" i="4"/>
  <c r="CM30" i="4"/>
  <c r="CF30" i="4"/>
  <c r="CK30" i="4"/>
  <c r="CD30" i="4"/>
  <c r="AM82" i="4"/>
  <c r="CF82" i="4"/>
  <c r="CJ82" i="4"/>
  <c r="CI82" i="4"/>
  <c r="CL82" i="4"/>
  <c r="AC82" i="4"/>
  <c r="AK82" i="4"/>
  <c r="BN82" i="4"/>
  <c r="CD82" i="4"/>
  <c r="CK82" i="4"/>
  <c r="CG82" i="4"/>
  <c r="AE82" i="4"/>
  <c r="CE82" i="4"/>
  <c r="CN82" i="4"/>
  <c r="CB82" i="4"/>
  <c r="BP82" i="4"/>
  <c r="CM82" i="4"/>
  <c r="CC82" i="4"/>
  <c r="AM46" i="4"/>
  <c r="CB46" i="4"/>
  <c r="CI46" i="4"/>
  <c r="AE46" i="4"/>
  <c r="CD46" i="4"/>
  <c r="CE46" i="4"/>
  <c r="CM46" i="4"/>
  <c r="CJ46" i="4"/>
  <c r="CK46" i="4"/>
  <c r="BP46" i="4"/>
  <c r="CC46" i="4"/>
  <c r="AC46" i="4"/>
  <c r="AK46" i="4"/>
  <c r="CL46" i="4"/>
  <c r="BN46" i="4"/>
  <c r="CG46" i="4"/>
  <c r="CF46" i="4"/>
  <c r="CN46" i="4"/>
  <c r="BN80" i="4"/>
  <c r="CK80" i="4"/>
  <c r="CC80" i="4"/>
  <c r="CJ80" i="4"/>
  <c r="CD80" i="4"/>
  <c r="BP80" i="4"/>
  <c r="CI80" i="4"/>
  <c r="CL80" i="4"/>
  <c r="AK80" i="4"/>
  <c r="CN80" i="4"/>
  <c r="CM80" i="4"/>
  <c r="CE80" i="4"/>
  <c r="CG80" i="4"/>
  <c r="AM80" i="4"/>
  <c r="CB80" i="4"/>
  <c r="AE80" i="4"/>
  <c r="AC80" i="4"/>
  <c r="CF80" i="4"/>
  <c r="AB58" i="4"/>
  <c r="AA58" i="4"/>
  <c r="CJ39" i="4"/>
  <c r="CD39" i="4"/>
  <c r="AC39" i="4"/>
  <c r="CM39" i="4"/>
  <c r="CI39" i="4"/>
  <c r="AK39" i="4"/>
  <c r="CK39" i="4"/>
  <c r="CB39" i="4"/>
  <c r="CL39" i="4"/>
  <c r="CN39" i="4"/>
  <c r="CF39" i="4"/>
  <c r="BN39" i="4"/>
  <c r="CC39" i="4"/>
  <c r="AE39" i="4"/>
  <c r="CE39" i="4"/>
  <c r="CG39" i="4"/>
  <c r="AM39" i="4"/>
  <c r="BP39" i="4"/>
  <c r="AK5" i="4"/>
  <c r="CM5" i="4"/>
  <c r="CD5" i="4"/>
  <c r="CE5" i="4"/>
  <c r="AM5" i="4"/>
  <c r="CL5" i="4"/>
  <c r="CJ5" i="4"/>
  <c r="BP5" i="4"/>
  <c r="BN5" i="4"/>
  <c r="CB5" i="4"/>
  <c r="AE5" i="4"/>
  <c r="CK5" i="4"/>
  <c r="CI5" i="4"/>
  <c r="CF5" i="4"/>
  <c r="CG5" i="4"/>
  <c r="AC5" i="4"/>
  <c r="CN5" i="4"/>
  <c r="CC5" i="4"/>
  <c r="CF65" i="4"/>
  <c r="CD65" i="4"/>
  <c r="CM65" i="4"/>
  <c r="CB65" i="4"/>
  <c r="BN65" i="4"/>
  <c r="CI65" i="4"/>
  <c r="CE65" i="4"/>
  <c r="CN65" i="4"/>
  <c r="CJ65" i="4"/>
  <c r="AC65" i="4"/>
  <c r="CL65" i="4"/>
  <c r="AM65" i="4"/>
  <c r="AE65" i="4"/>
  <c r="CK65" i="4"/>
  <c r="AK65" i="4"/>
  <c r="CC65" i="4"/>
  <c r="CG65" i="4"/>
  <c r="BP65" i="4"/>
  <c r="AM12" i="4"/>
  <c r="CB12" i="4"/>
  <c r="CM12" i="4"/>
  <c r="CC12" i="4"/>
  <c r="CF12" i="4"/>
  <c r="CD12" i="4"/>
  <c r="CN12" i="4"/>
  <c r="BP12" i="4"/>
  <c r="AK12" i="4"/>
  <c r="AE12" i="4"/>
  <c r="CE12" i="4"/>
  <c r="CL12" i="4"/>
  <c r="AC12" i="4"/>
  <c r="CG12" i="4"/>
  <c r="CI12" i="4"/>
  <c r="BN12" i="4"/>
  <c r="CK12" i="4"/>
  <c r="CJ12" i="4"/>
  <c r="B58" i="1"/>
  <c r="AM56" i="4"/>
  <c r="AE56" i="4"/>
  <c r="CG56" i="4"/>
  <c r="AK56" i="4"/>
  <c r="CJ56" i="4"/>
  <c r="CD56" i="4"/>
  <c r="BN56" i="4"/>
  <c r="BP56" i="4"/>
  <c r="CL56" i="4"/>
  <c r="CF56" i="4"/>
  <c r="CN56" i="4"/>
  <c r="CE56" i="4"/>
  <c r="CK56" i="4"/>
  <c r="AC56" i="4"/>
  <c r="CM56" i="4"/>
  <c r="CB56" i="4"/>
  <c r="CC56" i="4"/>
  <c r="CI56" i="4"/>
  <c r="AC34" i="4"/>
  <c r="CN34" i="4"/>
  <c r="CF34" i="4"/>
  <c r="CL34" i="4"/>
  <c r="BN34" i="4"/>
  <c r="AM34" i="4"/>
  <c r="AE34" i="4"/>
  <c r="CJ34" i="4"/>
  <c r="CM34" i="4"/>
  <c r="CD34" i="4"/>
  <c r="CE34" i="4"/>
  <c r="CC34" i="4"/>
  <c r="CB34" i="4"/>
  <c r="CK34" i="4"/>
  <c r="AK34" i="4"/>
  <c r="CG34" i="4"/>
  <c r="CI34" i="4"/>
  <c r="BP34" i="4"/>
  <c r="CE75" i="4"/>
  <c r="CC75" i="4"/>
  <c r="CN75" i="4"/>
  <c r="CK75" i="4"/>
  <c r="CD75" i="4"/>
  <c r="BN75" i="4"/>
  <c r="AK75" i="4"/>
  <c r="CF75" i="4"/>
  <c r="CL75" i="4"/>
  <c r="AM75" i="4"/>
  <c r="CJ75" i="4"/>
  <c r="BP75" i="4"/>
  <c r="CG75" i="4"/>
  <c r="CM75" i="4"/>
  <c r="AC75" i="4"/>
  <c r="CI75" i="4"/>
  <c r="CB75" i="4"/>
  <c r="AE75" i="4"/>
  <c r="CF70" i="4"/>
  <c r="CD70" i="4"/>
  <c r="CM70" i="4"/>
  <c r="CE70" i="4"/>
  <c r="CJ70" i="4"/>
  <c r="CB70" i="4"/>
  <c r="CN70" i="4"/>
  <c r="AE70" i="4"/>
  <c r="CK70" i="4"/>
  <c r="BP70" i="4"/>
  <c r="AC70" i="4"/>
  <c r="BN70" i="4"/>
  <c r="AK70" i="4"/>
  <c r="CI70" i="4"/>
  <c r="CL70" i="4"/>
  <c r="AM70" i="4"/>
  <c r="CG70" i="4"/>
  <c r="CC70" i="4"/>
  <c r="CB92" i="4"/>
  <c r="CM92" i="4"/>
  <c r="CK92" i="4"/>
  <c r="CN92" i="4"/>
  <c r="CC92" i="4"/>
  <c r="AM92" i="4"/>
  <c r="BP92" i="4"/>
  <c r="CJ92" i="4"/>
  <c r="CD92" i="4"/>
  <c r="CG92" i="4"/>
  <c r="CL92" i="4"/>
  <c r="CF92" i="4"/>
  <c r="CE92" i="4"/>
  <c r="AC92" i="4"/>
  <c r="BN92" i="4"/>
  <c r="AK92" i="4"/>
  <c r="CI92" i="4"/>
  <c r="AE92" i="4"/>
  <c r="CK42" i="4"/>
  <c r="CB42" i="4"/>
  <c r="BN42" i="4"/>
  <c r="CN42" i="4"/>
  <c r="CE42" i="4"/>
  <c r="AC42" i="4"/>
  <c r="AK42" i="4"/>
  <c r="AE42" i="4"/>
  <c r="BP42" i="4"/>
  <c r="CD42" i="4"/>
  <c r="CJ42" i="4"/>
  <c r="CF42" i="4"/>
  <c r="CC42" i="4"/>
  <c r="AM42" i="4"/>
  <c r="CM42" i="4"/>
  <c r="CI42" i="4"/>
  <c r="CL42" i="4"/>
  <c r="CG42" i="4"/>
  <c r="CM26" i="4"/>
  <c r="AE26" i="4"/>
  <c r="CL26" i="4"/>
  <c r="CI26" i="4"/>
  <c r="CD26" i="4"/>
  <c r="CE26" i="4"/>
  <c r="BP26" i="4"/>
  <c r="AK26" i="4"/>
  <c r="CG26" i="4"/>
  <c r="BN26" i="4"/>
  <c r="CK26" i="4"/>
  <c r="AC26" i="4"/>
  <c r="CJ26" i="4"/>
  <c r="CN26" i="4"/>
  <c r="AM26" i="4"/>
  <c r="CF26" i="4"/>
  <c r="CB26" i="4"/>
  <c r="CC26" i="4"/>
  <c r="BP44" i="4"/>
  <c r="CB44" i="4"/>
  <c r="CL44" i="4"/>
  <c r="CC44" i="4"/>
  <c r="AM44" i="4"/>
  <c r="CI44" i="4"/>
  <c r="CE44" i="4"/>
  <c r="CM44" i="4"/>
  <c r="CD44" i="4"/>
  <c r="BN44" i="4"/>
  <c r="AK44" i="4"/>
  <c r="AC44" i="4"/>
  <c r="CG44" i="4"/>
  <c r="AE44" i="4"/>
  <c r="CJ44" i="4"/>
  <c r="CK44" i="4"/>
  <c r="CF44" i="4"/>
  <c r="CN44" i="4"/>
  <c r="CD35" i="4"/>
  <c r="CJ35" i="4"/>
  <c r="CF35" i="4"/>
  <c r="AK35" i="4"/>
  <c r="CC35" i="4"/>
  <c r="CG35" i="4"/>
  <c r="CM35" i="4"/>
  <c r="AE35" i="4"/>
  <c r="BN35" i="4"/>
  <c r="CL35" i="4"/>
  <c r="CN35" i="4"/>
  <c r="CE35" i="4"/>
  <c r="CB35" i="4"/>
  <c r="CK35" i="4"/>
  <c r="BP35" i="4"/>
  <c r="AC35" i="4"/>
  <c r="AM35" i="4"/>
  <c r="CI35" i="4"/>
  <c r="AG58" i="4"/>
  <c r="AF58" i="4"/>
  <c r="AJ58" i="4"/>
  <c r="AI58" i="4"/>
  <c r="CF93" i="4"/>
  <c r="CK93" i="4"/>
  <c r="BN93" i="4"/>
  <c r="CB93" i="4"/>
  <c r="AE93" i="4"/>
  <c r="CJ93" i="4"/>
  <c r="AK93" i="4"/>
  <c r="CE93" i="4"/>
  <c r="CI93" i="4"/>
  <c r="AM93" i="4"/>
  <c r="CL93" i="4"/>
  <c r="CG93" i="4"/>
  <c r="BP93" i="4"/>
  <c r="CM93" i="4"/>
  <c r="CD93" i="4"/>
  <c r="CC93" i="4"/>
  <c r="AC93" i="4"/>
  <c r="CN93" i="4"/>
  <c r="CN32" i="4"/>
  <c r="AE32" i="4"/>
  <c r="CJ32" i="4"/>
  <c r="CK32" i="4"/>
  <c r="CF32" i="4"/>
  <c r="AC32" i="4"/>
  <c r="CC32" i="4"/>
  <c r="BN32" i="4"/>
  <c r="CG32" i="4"/>
  <c r="CD32" i="4"/>
  <c r="CE32" i="4"/>
  <c r="CL32" i="4"/>
  <c r="BP32" i="4"/>
  <c r="CI32" i="4"/>
  <c r="CB32" i="4"/>
  <c r="AK32" i="4"/>
  <c r="CM32" i="4"/>
  <c r="AM32" i="4"/>
  <c r="CD51" i="4"/>
  <c r="CM51" i="4"/>
  <c r="CG51" i="4"/>
  <c r="AC51" i="4"/>
  <c r="CC51" i="4"/>
  <c r="CL51" i="4"/>
  <c r="AK51" i="4"/>
  <c r="AE51" i="4"/>
  <c r="CF51" i="4"/>
  <c r="AM51" i="4"/>
  <c r="CJ51" i="4"/>
  <c r="BN51" i="4"/>
  <c r="CK51" i="4"/>
  <c r="CB51" i="4"/>
  <c r="CN51" i="4"/>
  <c r="CE51" i="4"/>
  <c r="CI51" i="4"/>
  <c r="BP51" i="4"/>
  <c r="AC41" i="4"/>
  <c r="CM41" i="4"/>
  <c r="CG41" i="4"/>
  <c r="AM41" i="4"/>
  <c r="CK41" i="4"/>
  <c r="CB41" i="4"/>
  <c r="CF41" i="4"/>
  <c r="AE41" i="4"/>
  <c r="BP41" i="4"/>
  <c r="CE41" i="4"/>
  <c r="CL41" i="4"/>
  <c r="CC41" i="4"/>
  <c r="CN41" i="4"/>
  <c r="BN41" i="4"/>
  <c r="AK41" i="4"/>
  <c r="CD41" i="4"/>
  <c r="CJ41" i="4"/>
  <c r="CI41" i="4"/>
  <c r="CB63" i="4"/>
  <c r="CM63" i="4"/>
  <c r="BN63" i="4"/>
  <c r="CF63" i="4"/>
  <c r="AM63" i="4"/>
  <c r="AC63" i="4"/>
  <c r="CN63" i="4"/>
  <c r="CK63" i="4"/>
  <c r="CJ63" i="4"/>
  <c r="CI63" i="4"/>
  <c r="CL63" i="4"/>
  <c r="CC63" i="4"/>
  <c r="AK63" i="4"/>
  <c r="CE63" i="4"/>
  <c r="CG63" i="4"/>
  <c r="AE63" i="4"/>
  <c r="BP63" i="4"/>
  <c r="CD63" i="4"/>
  <c r="AK25" i="4"/>
  <c r="CD25" i="4"/>
  <c r="CE25" i="4"/>
  <c r="BN25" i="4"/>
  <c r="BP25" i="4"/>
  <c r="AE25" i="4"/>
  <c r="CL25" i="4"/>
  <c r="AC25" i="4"/>
  <c r="CM25" i="4"/>
  <c r="CK25" i="4"/>
  <c r="CI25" i="4"/>
  <c r="CF25" i="4"/>
  <c r="CC25" i="4"/>
  <c r="CJ25" i="4"/>
  <c r="CN25" i="4"/>
  <c r="AM25" i="4"/>
  <c r="CG25" i="4"/>
  <c r="CB25" i="4"/>
  <c r="CM49" i="4"/>
  <c r="AC49" i="4"/>
  <c r="BN49" i="4"/>
  <c r="CG49" i="4"/>
  <c r="CF49" i="4"/>
  <c r="AM49" i="4"/>
  <c r="CK49" i="4"/>
  <c r="CB49" i="4"/>
  <c r="AK49" i="4"/>
  <c r="CE49" i="4"/>
  <c r="CN49" i="4"/>
  <c r="CD49" i="4"/>
  <c r="BP49" i="4"/>
  <c r="CL49" i="4"/>
  <c r="AE49" i="4"/>
  <c r="CI49" i="4"/>
  <c r="CC49" i="4"/>
  <c r="CJ49" i="4"/>
  <c r="CJ19" i="4"/>
  <c r="AE19" i="4"/>
  <c r="CN19" i="4"/>
  <c r="BN19" i="4"/>
  <c r="BP19" i="4"/>
  <c r="AK19" i="4"/>
  <c r="CD19" i="4"/>
  <c r="CG19" i="4"/>
  <c r="AM19" i="4"/>
  <c r="CK19" i="4"/>
  <c r="AC19" i="4"/>
  <c r="CL19" i="4"/>
  <c r="CM19" i="4"/>
  <c r="CB19" i="4"/>
  <c r="CE19" i="4"/>
  <c r="CF19" i="4"/>
  <c r="CI19" i="4"/>
  <c r="CC19" i="4"/>
  <c r="CN86" i="4"/>
  <c r="BN86" i="4"/>
  <c r="CK86" i="4"/>
  <c r="CJ86" i="4"/>
  <c r="CI86" i="4"/>
  <c r="CD86" i="4"/>
  <c r="AK86" i="4"/>
  <c r="CB86" i="4"/>
  <c r="CC86" i="4"/>
  <c r="CF86" i="4"/>
  <c r="CE86" i="4"/>
  <c r="AC86" i="4"/>
  <c r="BP86" i="4"/>
  <c r="CL86" i="4"/>
  <c r="CG86" i="4"/>
  <c r="CM86" i="4"/>
  <c r="AE86" i="4"/>
  <c r="AM86" i="4"/>
  <c r="CI50" i="4"/>
  <c r="AK50" i="4"/>
  <c r="CB50" i="4"/>
  <c r="CK50" i="4"/>
  <c r="CG50" i="4"/>
  <c r="AM50" i="4"/>
  <c r="CC50" i="4"/>
  <c r="AC50" i="4"/>
  <c r="CN50" i="4"/>
  <c r="BP50" i="4"/>
  <c r="CE50" i="4"/>
  <c r="CL50" i="4"/>
  <c r="CM50" i="4"/>
  <c r="AE50" i="4"/>
  <c r="CD50" i="4"/>
  <c r="CJ50" i="4"/>
  <c r="CF50" i="4"/>
  <c r="BN50" i="4"/>
  <c r="CN68" i="4"/>
  <c r="CJ68" i="4"/>
  <c r="CI68" i="4"/>
  <c r="AE68" i="4"/>
  <c r="AK68" i="4"/>
  <c r="CG68" i="4"/>
  <c r="CE68" i="4"/>
  <c r="CC68" i="4"/>
  <c r="CB68" i="4"/>
  <c r="AC68" i="4"/>
  <c r="CK68" i="4"/>
  <c r="CL68" i="4"/>
  <c r="CD68" i="4"/>
  <c r="BN68" i="4"/>
  <c r="CM68" i="4"/>
  <c r="AM68" i="4"/>
  <c r="CF68" i="4"/>
  <c r="BP68" i="4"/>
  <c r="CD83" i="4"/>
  <c r="CB83" i="4"/>
  <c r="CJ83" i="4"/>
  <c r="BP83" i="4"/>
  <c r="CM83" i="4"/>
  <c r="AK83" i="4"/>
  <c r="AE83" i="4"/>
  <c r="CF83" i="4"/>
  <c r="CE83" i="4"/>
  <c r="CG83" i="4"/>
  <c r="BN83" i="4"/>
  <c r="CK83" i="4"/>
  <c r="CN83" i="4"/>
  <c r="CL83" i="4"/>
  <c r="CC83" i="4"/>
  <c r="AM83" i="4"/>
  <c r="AC83" i="4"/>
  <c r="CI83" i="4"/>
  <c r="CC87" i="4"/>
  <c r="CE87" i="4"/>
  <c r="BP87" i="4"/>
  <c r="CM87" i="4"/>
  <c r="CK87" i="4"/>
  <c r="AM87" i="4"/>
  <c r="AC87" i="4"/>
  <c r="AK87" i="4"/>
  <c r="CG87" i="4"/>
  <c r="CF87" i="4"/>
  <c r="AE87" i="4"/>
  <c r="CB87" i="4"/>
  <c r="CI87" i="4"/>
  <c r="CN87" i="4"/>
  <c r="BN87" i="4"/>
  <c r="CL87" i="4"/>
  <c r="CD87" i="4"/>
  <c r="CJ87" i="4"/>
  <c r="BP71" i="4"/>
  <c r="CN71" i="4"/>
  <c r="CE71" i="4"/>
  <c r="CI71" i="4"/>
  <c r="CB71" i="4"/>
  <c r="CM71" i="4"/>
  <c r="BN71" i="4"/>
  <c r="CF71" i="4"/>
  <c r="CL71" i="4"/>
  <c r="AM71" i="4"/>
  <c r="AK71" i="4"/>
  <c r="CC71" i="4"/>
  <c r="CK71" i="4"/>
  <c r="CG71" i="4"/>
  <c r="AC71" i="4"/>
  <c r="CD71" i="4"/>
  <c r="AE71" i="4"/>
  <c r="CJ71" i="4"/>
  <c r="AK24" i="4"/>
  <c r="AE24" i="4"/>
  <c r="CB24" i="4"/>
  <c r="CE24" i="4"/>
  <c r="CD24" i="4"/>
  <c r="CI24" i="4"/>
  <c r="BP24" i="4"/>
  <c r="CM24" i="4"/>
  <c r="CJ24" i="4"/>
  <c r="CN24" i="4"/>
  <c r="CG24" i="4"/>
  <c r="BN24" i="4"/>
  <c r="CK24" i="4"/>
  <c r="CF24" i="4"/>
  <c r="CL24" i="4"/>
  <c r="AM24" i="4"/>
  <c r="CC24" i="4"/>
  <c r="AC24" i="4"/>
  <c r="CM48" i="4"/>
  <c r="CD48" i="4"/>
  <c r="CC48" i="4"/>
  <c r="CJ48" i="4"/>
  <c r="CB48" i="4"/>
  <c r="CN48" i="4"/>
  <c r="AK48" i="4"/>
  <c r="CG48" i="4"/>
  <c r="CF48" i="4"/>
  <c r="BP48" i="4"/>
  <c r="CK48" i="4"/>
  <c r="CL48" i="4"/>
  <c r="BN48" i="4"/>
  <c r="CE48" i="4"/>
  <c r="AC48" i="4"/>
  <c r="AM48" i="4"/>
  <c r="CI48" i="4"/>
  <c r="AE48" i="4"/>
  <c r="CD31" i="4"/>
  <c r="CI31" i="4"/>
  <c r="CB31" i="4"/>
  <c r="AE31" i="4"/>
  <c r="AK31" i="4"/>
  <c r="BN31" i="4"/>
  <c r="CN31" i="4"/>
  <c r="CE31" i="4"/>
  <c r="BP31" i="4"/>
  <c r="CM31" i="4"/>
  <c r="AM31" i="4"/>
  <c r="AC31" i="4"/>
  <c r="CC31" i="4"/>
  <c r="CL31" i="4"/>
  <c r="CG31" i="4"/>
  <c r="CK31" i="4"/>
  <c r="CJ31" i="4"/>
  <c r="CF31" i="4"/>
  <c r="AK11" i="4"/>
  <c r="CB11" i="4"/>
  <c r="CL11" i="4"/>
  <c r="AM11" i="4"/>
  <c r="BP11" i="4"/>
  <c r="CN11" i="4"/>
  <c r="CG11" i="4"/>
  <c r="CI11" i="4"/>
  <c r="CJ11" i="4"/>
  <c r="AC11" i="4"/>
  <c r="CC11" i="4"/>
  <c r="AE11" i="4"/>
  <c r="CK11" i="4"/>
  <c r="BN11" i="4"/>
  <c r="CE11" i="4"/>
  <c r="CM11" i="4"/>
  <c r="CF11" i="4"/>
  <c r="CD11" i="4"/>
  <c r="AM66" i="4"/>
  <c r="BP66" i="4"/>
  <c r="CL66" i="4"/>
  <c r="CB66" i="4"/>
  <c r="CG66" i="4"/>
  <c r="CK66" i="4"/>
  <c r="CJ66" i="4"/>
  <c r="CM66" i="4"/>
  <c r="AE66" i="4"/>
  <c r="AK66" i="4"/>
  <c r="CD66" i="4"/>
  <c r="CN66" i="4"/>
  <c r="CI66" i="4"/>
  <c r="BN66" i="4"/>
  <c r="CF66" i="4"/>
  <c r="CC66" i="4"/>
  <c r="AC66" i="4"/>
  <c r="CE66" i="4"/>
  <c r="CF22" i="4"/>
  <c r="CC22" i="4"/>
  <c r="AE22" i="4"/>
  <c r="CD22" i="4"/>
  <c r="CL22" i="4"/>
  <c r="CK22" i="4"/>
  <c r="CG22" i="4"/>
  <c r="BN22" i="4"/>
  <c r="CB22" i="4"/>
  <c r="CJ22" i="4"/>
  <c r="AM22" i="4"/>
  <c r="CI22" i="4"/>
  <c r="AK22" i="4"/>
  <c r="BP22" i="4"/>
  <c r="CM22" i="4"/>
  <c r="AC22" i="4"/>
  <c r="CE22" i="4"/>
  <c r="CN22" i="4"/>
  <c r="CJ28" i="4"/>
  <c r="CE28" i="4"/>
  <c r="BN28" i="4"/>
  <c r="CL28" i="4"/>
  <c r="AM28" i="4"/>
  <c r="CG28" i="4"/>
  <c r="CK28" i="4"/>
  <c r="CB28" i="4"/>
  <c r="CN28" i="4"/>
  <c r="AE28" i="4"/>
  <c r="BP28" i="4"/>
  <c r="CM28" i="4"/>
  <c r="AK28" i="4"/>
  <c r="CD28" i="4"/>
  <c r="AC28" i="4"/>
  <c r="CF28" i="4"/>
  <c r="CI28" i="4"/>
  <c r="CC28" i="4"/>
  <c r="CM52" i="4"/>
  <c r="CL52" i="4"/>
  <c r="AE52" i="4"/>
  <c r="BP52" i="4"/>
  <c r="CJ52" i="4"/>
  <c r="CB52" i="4"/>
  <c r="AM52" i="4"/>
  <c r="CE52" i="4"/>
  <c r="AK52" i="4"/>
  <c r="CF52" i="4"/>
  <c r="CG52" i="4"/>
  <c r="CC52" i="4"/>
  <c r="BN52" i="4"/>
  <c r="CI52" i="4"/>
  <c r="AC52" i="4"/>
  <c r="CD52" i="4"/>
  <c r="CK52" i="4"/>
  <c r="CN52" i="4"/>
  <c r="CL72" i="4"/>
  <c r="AK72" i="4"/>
  <c r="BN72" i="4"/>
  <c r="CE72" i="4"/>
  <c r="CC72" i="4"/>
  <c r="CM72" i="4"/>
  <c r="BP72" i="4"/>
  <c r="AM72" i="4"/>
  <c r="CK72" i="4"/>
  <c r="CJ72" i="4"/>
  <c r="AC72" i="4"/>
  <c r="CI72" i="4"/>
  <c r="AE72" i="4"/>
  <c r="CF72" i="4"/>
  <c r="CN72" i="4"/>
  <c r="CB72" i="4"/>
  <c r="CD72" i="4"/>
  <c r="CG72" i="4"/>
  <c r="CD67" i="4"/>
  <c r="AC67" i="4"/>
  <c r="AM67" i="4"/>
  <c r="CI67" i="4"/>
  <c r="CM67" i="4"/>
  <c r="CC67" i="4"/>
  <c r="CB67" i="4"/>
  <c r="AE67" i="4"/>
  <c r="BP67" i="4"/>
  <c r="CK67" i="4"/>
  <c r="CE67" i="4"/>
  <c r="BN67" i="4"/>
  <c r="CN67" i="4"/>
  <c r="CF67" i="4"/>
  <c r="CJ67" i="4"/>
  <c r="CL67" i="4"/>
  <c r="AK67" i="4"/>
  <c r="CG67" i="4"/>
  <c r="CC90" i="4"/>
  <c r="BN90" i="4"/>
  <c r="CB90" i="4"/>
  <c r="CG90" i="4"/>
  <c r="BP90" i="4"/>
  <c r="CE90" i="4"/>
  <c r="CN90" i="4"/>
  <c r="CJ90" i="4"/>
  <c r="AE90" i="4"/>
  <c r="CK90" i="4"/>
  <c r="CL90" i="4"/>
  <c r="AM90" i="4"/>
  <c r="CF90" i="4"/>
  <c r="CM90" i="4"/>
  <c r="CD90" i="4"/>
  <c r="CI90" i="4"/>
  <c r="AK90" i="4"/>
  <c r="AC90" i="4"/>
  <c r="AM81" i="4"/>
  <c r="CD81" i="4"/>
  <c r="CN81" i="4"/>
  <c r="CF81" i="4"/>
  <c r="CI81" i="4"/>
  <c r="CL81" i="4"/>
  <c r="AK81" i="4"/>
  <c r="CK81" i="4"/>
  <c r="BN81" i="4"/>
  <c r="AC81" i="4"/>
  <c r="CG81" i="4"/>
  <c r="CE81" i="4"/>
  <c r="CM81" i="4"/>
  <c r="BP81" i="4"/>
  <c r="AE81" i="4"/>
  <c r="CJ81" i="4"/>
  <c r="CC81" i="4"/>
  <c r="CB81" i="4"/>
  <c r="CM69" i="4"/>
  <c r="CC69" i="4"/>
  <c r="CK69" i="4"/>
  <c r="CJ69" i="4"/>
  <c r="CG69" i="4"/>
  <c r="AC69" i="4"/>
  <c r="CN69" i="4"/>
  <c r="CD69" i="4"/>
  <c r="BP69" i="4"/>
  <c r="CL69" i="4"/>
  <c r="BN69" i="4"/>
  <c r="CF69" i="4"/>
  <c r="CB69" i="4"/>
  <c r="CE69" i="4"/>
  <c r="AE69" i="4"/>
  <c r="AM69" i="4"/>
  <c r="CI69" i="4"/>
  <c r="AK69" i="4"/>
  <c r="CD36" i="4"/>
  <c r="AM36" i="4"/>
  <c r="BP36" i="4"/>
  <c r="CB36" i="4"/>
  <c r="AC36" i="4"/>
  <c r="CG36" i="4"/>
  <c r="CF36" i="4"/>
  <c r="CK36" i="4"/>
  <c r="AE36" i="4"/>
  <c r="CN36" i="4"/>
  <c r="CC36" i="4"/>
  <c r="CM36" i="4"/>
  <c r="CL36" i="4"/>
  <c r="BN36" i="4"/>
  <c r="CJ36" i="4"/>
  <c r="CI36" i="4"/>
  <c r="AK36" i="4"/>
  <c r="CE36" i="4"/>
  <c r="CC38" i="4"/>
  <c r="CJ38" i="4"/>
  <c r="CK38" i="4"/>
  <c r="CE38" i="4"/>
  <c r="CL38" i="4"/>
  <c r="AE38" i="4"/>
  <c r="BN38" i="4"/>
  <c r="CB38" i="4"/>
  <c r="CN38" i="4"/>
  <c r="CI38" i="4"/>
  <c r="BP38" i="4"/>
  <c r="CD38" i="4"/>
  <c r="AK38" i="4"/>
  <c r="CF38" i="4"/>
  <c r="CM38" i="4"/>
  <c r="AM38" i="4"/>
  <c r="AC38" i="4"/>
  <c r="CG38" i="4"/>
  <c r="CC73" i="4"/>
  <c r="CN73" i="4"/>
  <c r="CE73" i="4"/>
  <c r="AC73" i="4"/>
  <c r="AE73" i="4"/>
  <c r="CF73" i="4"/>
  <c r="CM73" i="4"/>
  <c r="CD73" i="4"/>
  <c r="CJ73" i="4"/>
  <c r="AK73" i="4"/>
  <c r="BN73" i="4"/>
  <c r="BP73" i="4"/>
  <c r="CL73" i="4"/>
  <c r="CG73" i="4"/>
  <c r="AM73" i="4"/>
  <c r="CI73" i="4"/>
  <c r="CB73" i="4"/>
  <c r="CK73" i="4"/>
  <c r="CB6" i="4"/>
  <c r="BP6" i="4"/>
  <c r="CD6" i="4"/>
  <c r="CF6" i="4"/>
  <c r="AC6" i="4"/>
  <c r="AK6" i="4"/>
  <c r="CG6" i="4"/>
  <c r="BN6" i="4"/>
  <c r="CC6" i="4"/>
  <c r="CL6" i="4"/>
  <c r="CE6" i="4"/>
  <c r="AE6" i="4"/>
  <c r="CI6" i="4"/>
  <c r="AM6" i="4"/>
  <c r="CN6" i="4"/>
  <c r="CJ6" i="4"/>
  <c r="CK6" i="4"/>
  <c r="CM6" i="4"/>
  <c r="AO58" i="4"/>
  <c r="AN58" i="4"/>
  <c r="CI21" i="4"/>
  <c r="CB21" i="4"/>
  <c r="AC21" i="4"/>
  <c r="BN21" i="4"/>
  <c r="CN21" i="4"/>
  <c r="CK21" i="4"/>
  <c r="CJ21" i="4"/>
  <c r="CC21" i="4"/>
  <c r="CD21" i="4"/>
  <c r="CM21" i="4"/>
  <c r="CL21" i="4"/>
  <c r="AM21" i="4"/>
  <c r="CG21" i="4"/>
  <c r="AE21" i="4"/>
  <c r="BP21" i="4"/>
  <c r="CE21" i="4"/>
  <c r="AK21" i="4"/>
  <c r="CF21" i="4"/>
  <c r="CG89" i="4"/>
  <c r="AK89" i="4"/>
  <c r="AM89" i="4"/>
  <c r="CE89" i="4"/>
  <c r="CK89" i="4"/>
  <c r="CM89" i="4"/>
  <c r="CD89" i="4"/>
  <c r="CB89" i="4"/>
  <c r="AE89" i="4"/>
  <c r="BN89" i="4"/>
  <c r="CN89" i="4"/>
  <c r="CF89" i="4"/>
  <c r="BP89" i="4"/>
  <c r="CL89" i="4"/>
  <c r="CJ89" i="4"/>
  <c r="CI89" i="4"/>
  <c r="CC89" i="4"/>
  <c r="AC89" i="4"/>
  <c r="AK7" i="4"/>
  <c r="AC7" i="4"/>
  <c r="CG7" i="4"/>
  <c r="CJ7" i="4"/>
  <c r="CF7" i="4"/>
  <c r="CN7" i="4"/>
  <c r="CE7" i="4"/>
  <c r="CD7" i="4"/>
  <c r="AE7" i="4"/>
  <c r="BP7" i="4"/>
  <c r="CB7" i="4"/>
  <c r="AM7" i="4"/>
  <c r="CK7" i="4"/>
  <c r="CC7" i="4"/>
  <c r="BN7" i="4"/>
  <c r="CI7" i="4"/>
  <c r="CM7" i="4"/>
  <c r="CL7" i="4"/>
  <c r="AK57" i="4"/>
  <c r="AC57" i="4"/>
  <c r="AM57" i="4"/>
  <c r="AE57" i="4"/>
  <c r="CG57" i="4"/>
  <c r="CF57" i="4"/>
  <c r="CI57" i="4"/>
  <c r="CL57" i="4"/>
  <c r="CN57" i="4"/>
  <c r="BN57" i="4"/>
  <c r="BP57" i="4"/>
  <c r="CC57" i="4"/>
  <c r="CK57" i="4"/>
  <c r="CJ57" i="4"/>
  <c r="CM57" i="4"/>
  <c r="CD57" i="4"/>
  <c r="CB57" i="4"/>
  <c r="CE57" i="4"/>
  <c r="CE62" i="4"/>
  <c r="AM62" i="4"/>
  <c r="CB62" i="4"/>
  <c r="CJ62" i="4"/>
  <c r="AC62" i="4"/>
  <c r="CM62" i="4"/>
  <c r="BN62" i="4"/>
  <c r="CK62" i="4"/>
  <c r="AE62" i="4"/>
  <c r="CI62" i="4"/>
  <c r="CN62" i="4"/>
  <c r="CD62" i="4"/>
  <c r="BP62" i="4"/>
  <c r="CF62" i="4"/>
  <c r="AK62" i="4"/>
  <c r="CC62" i="4"/>
  <c r="CG62" i="4"/>
  <c r="CL62" i="4"/>
  <c r="AC59" i="4"/>
  <c r="CK59" i="4"/>
  <c r="CI59" i="4"/>
  <c r="CE59" i="4"/>
  <c r="CC59" i="4"/>
  <c r="CN59" i="4"/>
  <c r="CL59" i="4"/>
  <c r="CG59" i="4"/>
  <c r="CF59" i="4"/>
  <c r="BN59" i="4"/>
  <c r="AK59" i="4"/>
  <c r="AM59" i="4"/>
  <c r="CD59" i="4"/>
  <c r="CJ59" i="4"/>
  <c r="BP59" i="4"/>
  <c r="CB59" i="4"/>
  <c r="AE59" i="4"/>
  <c r="CM59" i="4"/>
  <c r="CD29" i="4"/>
  <c r="CK29" i="4"/>
  <c r="AE29" i="4"/>
  <c r="CC29" i="4"/>
  <c r="AM29" i="4"/>
  <c r="AC29" i="4"/>
  <c r="CE29" i="4"/>
  <c r="CJ29" i="4"/>
  <c r="CL29" i="4"/>
  <c r="BP29" i="4"/>
  <c r="CB29" i="4"/>
  <c r="CG29" i="4"/>
  <c r="CF29" i="4"/>
  <c r="CI29" i="4"/>
  <c r="CN29" i="4"/>
  <c r="CM29" i="4"/>
  <c r="BN29" i="4"/>
  <c r="AK29" i="4"/>
  <c r="CJ18" i="4"/>
  <c r="AK18" i="4"/>
  <c r="CC18" i="4"/>
  <c r="CG18" i="4"/>
  <c r="CK18" i="4"/>
  <c r="CE18" i="4"/>
  <c r="CB18" i="4"/>
  <c r="CF18" i="4"/>
  <c r="AM18" i="4"/>
  <c r="CI18" i="4"/>
  <c r="BP18" i="4"/>
  <c r="CN18" i="4"/>
  <c r="CD18" i="4"/>
  <c r="AE18" i="4"/>
  <c r="CM18" i="4"/>
  <c r="AC18" i="4"/>
  <c r="BN18" i="4"/>
  <c r="CL18" i="4"/>
  <c r="CD15" i="4"/>
  <c r="CL15" i="4"/>
  <c r="BP15" i="4"/>
  <c r="CM15" i="4"/>
  <c r="CJ15" i="4"/>
  <c r="CC15" i="4"/>
  <c r="CG15" i="4"/>
  <c r="AC15" i="4"/>
  <c r="BN15" i="4"/>
  <c r="CF15" i="4"/>
  <c r="CE15" i="4"/>
  <c r="CB15" i="4"/>
  <c r="AM15" i="4"/>
  <c r="AK15" i="4"/>
  <c r="AE15" i="4"/>
  <c r="CK15" i="4"/>
  <c r="CN15" i="4"/>
  <c r="CI15" i="4"/>
  <c r="AE8" i="4"/>
  <c r="CN8" i="4"/>
  <c r="BP8" i="4"/>
  <c r="BN8" i="4"/>
  <c r="CL8" i="4"/>
  <c r="CG8" i="4"/>
  <c r="CD8" i="4"/>
  <c r="AC8" i="4"/>
  <c r="CM8" i="4"/>
  <c r="AK8" i="4"/>
  <c r="CE8" i="4"/>
  <c r="CK8" i="4"/>
  <c r="CB8" i="4"/>
  <c r="CI8" i="4"/>
  <c r="CF8" i="4"/>
  <c r="AM8" i="4"/>
  <c r="CC8" i="4"/>
  <c r="CJ8" i="4"/>
  <c r="AM17" i="4"/>
  <c r="CL17" i="4"/>
  <c r="CN17" i="4"/>
  <c r="BP17" i="4"/>
  <c r="CM17" i="4"/>
  <c r="AK17" i="4"/>
  <c r="BN17" i="4"/>
  <c r="CD17" i="4"/>
  <c r="CF17" i="4"/>
  <c r="CB17" i="4"/>
  <c r="CK17" i="4"/>
  <c r="AE17" i="4"/>
  <c r="CC17" i="4"/>
  <c r="AC17" i="4"/>
  <c r="CG17" i="4"/>
  <c r="CE17" i="4"/>
  <c r="CJ17" i="4"/>
  <c r="CI17" i="4"/>
  <c r="AM61" i="4"/>
  <c r="CD61" i="4"/>
  <c r="CM61" i="4"/>
  <c r="CK61" i="4"/>
  <c r="CE61" i="4"/>
  <c r="BN61" i="4"/>
  <c r="CG61" i="4"/>
  <c r="CN61" i="4"/>
  <c r="AC61" i="4"/>
  <c r="CI61" i="4"/>
  <c r="CC61" i="4"/>
  <c r="BP61" i="4"/>
  <c r="CJ61" i="4"/>
  <c r="AK61" i="4"/>
  <c r="AE61" i="4"/>
  <c r="CB61" i="4"/>
  <c r="CF61" i="4"/>
  <c r="CL61" i="4"/>
  <c r="AC64" i="4"/>
  <c r="CC64" i="4"/>
  <c r="CG64" i="4"/>
  <c r="CJ64" i="4"/>
  <c r="CL64" i="4"/>
  <c r="CK64" i="4"/>
  <c r="CF64" i="4"/>
  <c r="AM64" i="4"/>
  <c r="CE64" i="4"/>
  <c r="CM64" i="4"/>
  <c r="CI64" i="4"/>
  <c r="CD64" i="4"/>
  <c r="CN64" i="4"/>
  <c r="AE64" i="4"/>
  <c r="AK64" i="4"/>
  <c r="BN64" i="4"/>
  <c r="CB64" i="4"/>
  <c r="BP64" i="4"/>
  <c r="CN45" i="4"/>
  <c r="CE45" i="4"/>
  <c r="CJ45" i="4"/>
  <c r="CM45" i="4"/>
  <c r="CI45" i="4"/>
  <c r="CG45" i="4"/>
  <c r="BP45" i="4"/>
  <c r="CC45" i="4"/>
  <c r="AC45" i="4"/>
  <c r="CD45" i="4"/>
  <c r="CK45" i="4"/>
  <c r="AE45" i="4"/>
  <c r="CL45" i="4"/>
  <c r="CF45" i="4"/>
  <c r="AK45" i="4"/>
  <c r="BN45" i="4"/>
  <c r="CB45" i="4"/>
  <c r="AM45" i="4"/>
  <c r="CG37" i="4"/>
  <c r="CC37" i="4"/>
  <c r="AK37" i="4"/>
  <c r="AE37" i="4"/>
  <c r="CN37" i="4"/>
  <c r="CJ37" i="4"/>
  <c r="BN37" i="4"/>
  <c r="AC37" i="4"/>
  <c r="CE37" i="4"/>
  <c r="CI37" i="4"/>
  <c r="CM37" i="4"/>
  <c r="CD37" i="4"/>
  <c r="BP37" i="4"/>
  <c r="CB37" i="4"/>
  <c r="CF37" i="4"/>
  <c r="AM37" i="4"/>
  <c r="CL37" i="4"/>
  <c r="CK37" i="4"/>
  <c r="AE76" i="4"/>
  <c r="CJ76" i="4"/>
  <c r="CD76" i="4"/>
  <c r="BP76" i="4"/>
  <c r="CM76" i="4"/>
  <c r="CK76" i="4"/>
  <c r="CF76" i="4"/>
  <c r="CC76" i="4"/>
  <c r="AK76" i="4"/>
  <c r="CB76" i="4"/>
  <c r="AM76" i="4"/>
  <c r="AC76" i="4"/>
  <c r="BN76" i="4"/>
  <c r="CN76" i="4"/>
  <c r="CE76" i="4"/>
  <c r="CI76" i="4"/>
  <c r="CG76" i="4"/>
  <c r="CL76" i="4"/>
  <c r="AM91" i="4"/>
  <c r="BP91" i="4"/>
  <c r="CB91" i="4"/>
  <c r="AK91" i="4"/>
  <c r="CF91" i="4"/>
  <c r="CE91" i="4"/>
  <c r="BN91" i="4"/>
  <c r="CN91" i="4"/>
  <c r="CM91" i="4"/>
  <c r="AE91" i="4"/>
  <c r="CI91" i="4"/>
  <c r="CC91" i="4"/>
  <c r="AC91" i="4"/>
  <c r="CD91" i="4"/>
  <c r="CL91" i="4"/>
  <c r="CK91" i="4"/>
  <c r="CJ91" i="4"/>
  <c r="CG91" i="4"/>
  <c r="AE88" i="4"/>
  <c r="CG88" i="4"/>
  <c r="CK88" i="4"/>
  <c r="CE88" i="4"/>
  <c r="CD88" i="4"/>
  <c r="CM88" i="4"/>
  <c r="AK88" i="4"/>
  <c r="CL88" i="4"/>
  <c r="CJ88" i="4"/>
  <c r="CC88" i="4"/>
  <c r="CB88" i="4"/>
  <c r="AM88" i="4"/>
  <c r="CN88" i="4"/>
  <c r="CI88" i="4"/>
  <c r="BP88" i="4"/>
  <c r="AC88" i="4"/>
  <c r="BN88" i="4"/>
  <c r="CF88" i="4"/>
  <c r="CB40" i="4"/>
  <c r="CL40" i="4"/>
  <c r="CC40" i="4"/>
  <c r="AE40" i="4"/>
  <c r="CD40" i="4"/>
  <c r="AM40" i="4"/>
  <c r="AK40" i="4"/>
  <c r="CN40" i="4"/>
  <c r="CM40" i="4"/>
  <c r="BN40" i="4"/>
  <c r="CG40" i="4"/>
  <c r="CK40" i="4"/>
  <c r="BP40" i="4"/>
  <c r="AC40" i="4"/>
  <c r="CI40" i="4"/>
  <c r="CJ40" i="4"/>
  <c r="CF40" i="4"/>
  <c r="CE40" i="4"/>
  <c r="AE78" i="4"/>
  <c r="CC78" i="4"/>
  <c r="AC78" i="4"/>
  <c r="CB78" i="4"/>
  <c r="CN78" i="4"/>
  <c r="AK78" i="4"/>
  <c r="BP78" i="4"/>
  <c r="CL78" i="4"/>
  <c r="AM78" i="4"/>
  <c r="CF78" i="4"/>
  <c r="CD78" i="4"/>
  <c r="CK78" i="4"/>
  <c r="CG78" i="4"/>
  <c r="CJ78" i="4"/>
  <c r="CE78" i="4"/>
  <c r="CI78" i="4"/>
  <c r="BN78" i="4"/>
  <c r="CM78" i="4"/>
  <c r="AC54" i="4"/>
  <c r="CC54" i="4"/>
  <c r="CM54" i="4"/>
  <c r="CG54" i="4"/>
  <c r="AM54" i="4"/>
  <c r="CB54" i="4"/>
  <c r="CJ54" i="4"/>
  <c r="CF54" i="4"/>
  <c r="CE54" i="4"/>
  <c r="CN54" i="4"/>
  <c r="CI54" i="4"/>
  <c r="CL54" i="4"/>
  <c r="BN54" i="4"/>
  <c r="CD54" i="4"/>
  <c r="BP54" i="4"/>
  <c r="AK54" i="4"/>
  <c r="AE54" i="4"/>
  <c r="CK54" i="4"/>
  <c r="CL27" i="4"/>
  <c r="CE27" i="4"/>
  <c r="AK27" i="4"/>
  <c r="BN27" i="4"/>
  <c r="CJ27" i="4"/>
  <c r="CD27" i="4"/>
  <c r="AE27" i="4"/>
  <c r="CB27" i="4"/>
  <c r="BP27" i="4"/>
  <c r="CC27" i="4"/>
  <c r="CI27" i="4"/>
  <c r="AM27" i="4"/>
  <c r="CM27" i="4"/>
  <c r="CG27" i="4"/>
  <c r="CN27" i="4"/>
  <c r="CF27" i="4"/>
  <c r="CK27" i="4"/>
  <c r="AC27" i="4"/>
  <c r="CE77" i="4"/>
  <c r="AC77" i="4"/>
  <c r="CI77" i="4"/>
  <c r="CG77" i="4"/>
  <c r="AM77" i="4"/>
  <c r="CF77" i="4"/>
  <c r="BP77" i="4"/>
  <c r="AK77" i="4"/>
  <c r="BN77" i="4"/>
  <c r="CK77" i="4"/>
  <c r="CJ77" i="4"/>
  <c r="CM77" i="4"/>
  <c r="CL77" i="4"/>
  <c r="CC77" i="4"/>
  <c r="CN77" i="4"/>
  <c r="AE77" i="4"/>
  <c r="CB77" i="4"/>
  <c r="CD77" i="4"/>
  <c r="CC16" i="4"/>
  <c r="AE16" i="4"/>
  <c r="BP16" i="4"/>
  <c r="CB16" i="4"/>
  <c r="CN16" i="4"/>
  <c r="CJ16" i="4"/>
  <c r="AC16" i="4"/>
  <c r="BN16" i="4"/>
  <c r="CF16" i="4"/>
  <c r="CM16" i="4"/>
  <c r="AM16" i="4"/>
  <c r="CG16" i="4"/>
  <c r="CE16" i="4"/>
  <c r="CI16" i="4"/>
  <c r="CK16" i="4"/>
  <c r="AK16" i="4"/>
  <c r="CD16" i="4"/>
  <c r="CL16" i="4"/>
  <c r="BP84" i="4"/>
  <c r="CD84" i="4"/>
  <c r="CC84" i="4"/>
  <c r="CF84" i="4"/>
  <c r="CM84" i="4"/>
  <c r="AK84" i="4"/>
  <c r="CE84" i="4"/>
  <c r="CG84" i="4"/>
  <c r="CI84" i="4"/>
  <c r="CJ84" i="4"/>
  <c r="AC84" i="4"/>
  <c r="CK84" i="4"/>
  <c r="CN84" i="4"/>
  <c r="AM84" i="4"/>
  <c r="CL84" i="4"/>
  <c r="BN84" i="4"/>
  <c r="CB84" i="4"/>
  <c r="AE84" i="4"/>
  <c r="CK13" i="4"/>
  <c r="CB13" i="4"/>
  <c r="BP13" i="4"/>
  <c r="CE13" i="4"/>
  <c r="CL13" i="4"/>
  <c r="CM13" i="4"/>
  <c r="CG13" i="4"/>
  <c r="CC13" i="4"/>
  <c r="AK13" i="4"/>
  <c r="CD13" i="4"/>
  <c r="AE13" i="4"/>
  <c r="CI13" i="4"/>
  <c r="CJ13" i="4"/>
  <c r="AC13" i="4"/>
  <c r="CF13" i="4"/>
  <c r="AM13" i="4"/>
  <c r="BN13" i="4"/>
  <c r="CN13" i="4"/>
  <c r="AK47" i="4"/>
  <c r="CF47" i="4"/>
  <c r="AM47" i="4"/>
  <c r="CE47" i="4"/>
  <c r="CC47" i="4"/>
  <c r="CJ47" i="4"/>
  <c r="CD47" i="4"/>
  <c r="AE47" i="4"/>
  <c r="CM47" i="4"/>
  <c r="CG47" i="4"/>
  <c r="CI47" i="4"/>
  <c r="CL47" i="4"/>
  <c r="AC47" i="4"/>
  <c r="BN47" i="4"/>
  <c r="CB47" i="4"/>
  <c r="BP47" i="4"/>
  <c r="CN47" i="4"/>
  <c r="CK47" i="4"/>
  <c r="CL74" i="4"/>
  <c r="CE74" i="4"/>
  <c r="CC74" i="4"/>
  <c r="BN74" i="4"/>
  <c r="AM74" i="4"/>
  <c r="CK74" i="4"/>
  <c r="BP74" i="4"/>
  <c r="CB74" i="4"/>
  <c r="CG74" i="4"/>
  <c r="CJ74" i="4"/>
  <c r="CN74" i="4"/>
  <c r="CM74" i="4"/>
  <c r="CF74" i="4"/>
  <c r="CD74" i="4"/>
  <c r="AE74" i="4"/>
  <c r="AC74" i="4"/>
  <c r="AK74" i="4"/>
  <c r="CI74" i="4"/>
  <c r="CC43" i="4"/>
  <c r="AE43" i="4"/>
  <c r="CK43" i="4"/>
  <c r="BN43" i="4"/>
  <c r="CF43" i="4"/>
  <c r="CN43" i="4"/>
  <c r="AK43" i="4"/>
  <c r="AC43" i="4"/>
  <c r="CG43" i="4"/>
  <c r="CL43" i="4"/>
  <c r="CI43" i="4"/>
  <c r="CJ43" i="4"/>
  <c r="CB43" i="4"/>
  <c r="AM43" i="4"/>
  <c r="CD43" i="4"/>
  <c r="BP43" i="4"/>
  <c r="CE43" i="4"/>
  <c r="CM43" i="4"/>
  <c r="CD14" i="4"/>
  <c r="CB14" i="4"/>
  <c r="AC14" i="4"/>
  <c r="CE14" i="4"/>
  <c r="BN14" i="4"/>
  <c r="CI14" i="4"/>
  <c r="CK14" i="4"/>
  <c r="AE14" i="4"/>
  <c r="CC14" i="4"/>
  <c r="CM14" i="4"/>
  <c r="CJ14" i="4"/>
  <c r="CL14" i="4"/>
  <c r="BP14" i="4"/>
  <c r="AM14" i="4"/>
  <c r="CN14" i="4"/>
  <c r="CG14" i="4"/>
  <c r="AK14" i="4"/>
  <c r="CF14" i="4"/>
  <c r="AC79" i="4"/>
  <c r="CC79" i="4"/>
  <c r="CI79" i="4"/>
  <c r="CN79" i="4"/>
  <c r="CM79" i="4"/>
  <c r="BN79" i="4"/>
  <c r="CE79" i="4"/>
  <c r="AM79" i="4"/>
  <c r="CG79" i="4"/>
  <c r="AK79" i="4"/>
  <c r="CL79" i="4"/>
  <c r="BP79" i="4"/>
  <c r="CK79" i="4"/>
  <c r="CF79" i="4"/>
  <c r="CD79" i="4"/>
  <c r="AE79" i="4"/>
  <c r="CJ79" i="4"/>
  <c r="CB79" i="4"/>
  <c r="Z162" i="13"/>
  <c r="Z1300" i="13"/>
  <c r="AW4" i="4"/>
  <c r="AV6" i="13"/>
  <c r="AY4" i="4"/>
  <c r="V14" i="22"/>
  <c r="W14" i="22"/>
  <c r="Y14" i="22" s="1"/>
  <c r="C85" i="4"/>
  <c r="BU85" i="4" a="1"/>
  <c r="BU85" i="4" s="1"/>
  <c r="A85" i="20"/>
  <c r="BC85" i="4" a="1"/>
  <c r="BC85" i="4" s="1"/>
  <c r="D85" i="1"/>
  <c r="BV85" i="4" a="1"/>
  <c r="BV85" i="4" s="1"/>
  <c r="A87" i="9"/>
  <c r="D85" i="4"/>
  <c r="AX641" i="13"/>
  <c r="AX41" i="13"/>
  <c r="A1137" i="13"/>
  <c r="AX541" i="13"/>
  <c r="A141" i="13"/>
  <c r="A441" i="13"/>
  <c r="A840" i="13"/>
  <c r="AX840" i="13" s="1"/>
  <c r="AX1038" i="13"/>
  <c r="AX441" i="13"/>
  <c r="A740" i="13"/>
  <c r="AX740" i="13" s="1"/>
  <c r="A1038" i="13"/>
  <c r="A541" i="13"/>
  <c r="A939" i="13"/>
  <c r="AX939" i="13" s="1"/>
  <c r="A641" i="13"/>
  <c r="A306" i="13"/>
  <c r="AX306" i="13" s="1"/>
  <c r="AX206" i="13"/>
  <c r="A914" i="13"/>
  <c r="AX914" i="13" s="1"/>
  <c r="A1013" i="13"/>
  <c r="A616" i="13"/>
  <c r="A715" i="13"/>
  <c r="AX715" i="13" s="1"/>
  <c r="A116" i="13"/>
  <c r="AX16" i="13"/>
  <c r="A516" i="13"/>
  <c r="AX616" i="13"/>
  <c r="AX516" i="13"/>
  <c r="AX1013" i="13"/>
  <c r="A1112" i="13"/>
  <c r="AX416" i="13"/>
  <c r="A416" i="13"/>
  <c r="A815" i="13"/>
  <c r="AX815" i="13" s="1"/>
  <c r="K53" i="4"/>
  <c r="BU53" i="4" a="1"/>
  <c r="BU53" i="4" s="1"/>
  <c r="A55" i="9"/>
  <c r="A53" i="20"/>
  <c r="BS53" i="4"/>
  <c r="AZ53" i="4"/>
  <c r="D53" i="1"/>
  <c r="D53" i="4"/>
  <c r="BV53" i="4" a="1"/>
  <c r="BV53" i="4" s="1"/>
  <c r="M53" i="4"/>
  <c r="C53" i="4"/>
  <c r="BC53" i="4" a="1"/>
  <c r="BC53" i="4" s="1"/>
  <c r="I53" i="4"/>
  <c r="A53" i="4"/>
  <c r="K6" i="27"/>
  <c r="B9" i="4"/>
  <c r="BA9" i="4" a="1"/>
  <c r="BA9" i="4" s="1"/>
  <c r="BB9" i="4" s="1"/>
  <c r="T9" i="69" s="1"/>
  <c r="D33" i="1"/>
  <c r="BU33" i="4" a="1"/>
  <c r="BU33" i="4" s="1"/>
  <c r="D33" i="4"/>
  <c r="I33" i="4"/>
  <c r="C33" i="4"/>
  <c r="BS33" i="4"/>
  <c r="A35" i="9"/>
  <c r="BC33" i="4" a="1"/>
  <c r="BC33" i="4" s="1"/>
  <c r="AZ33" i="4"/>
  <c r="A33" i="4"/>
  <c r="K33" i="4"/>
  <c r="A33" i="20"/>
  <c r="BV33" i="4" a="1"/>
  <c r="BV33" i="4" s="1"/>
  <c r="M33" i="4"/>
  <c r="A467" i="13"/>
  <c r="A1163" i="13"/>
  <c r="A667" i="13"/>
  <c r="A965" i="13"/>
  <c r="AX965" i="13" s="1"/>
  <c r="AX467" i="13"/>
  <c r="A167" i="13"/>
  <c r="A1064" i="13"/>
  <c r="AX67" i="13"/>
  <c r="A766" i="13"/>
  <c r="AX766" i="13" s="1"/>
  <c r="AX567" i="13"/>
  <c r="A866" i="13"/>
  <c r="AX866" i="13" s="1"/>
  <c r="AX667" i="13"/>
  <c r="AX1064" i="13"/>
  <c r="A567" i="13"/>
  <c r="K20" i="4"/>
  <c r="A20" i="20"/>
  <c r="I20" i="4"/>
  <c r="BA28" i="71" s="1"/>
  <c r="BU20" i="4" a="1"/>
  <c r="BU20" i="4" s="1"/>
  <c r="AZ20" i="4"/>
  <c r="BC20" i="4" a="1"/>
  <c r="BC20" i="4" s="1"/>
  <c r="C20" i="4"/>
  <c r="D20" i="1"/>
  <c r="M20" i="4"/>
  <c r="A20" i="4"/>
  <c r="BV20" i="4" a="1"/>
  <c r="BV20" i="4" s="1"/>
  <c r="D20" i="4"/>
  <c r="A22" i="9"/>
  <c r="BS20" i="4"/>
  <c r="BV30" i="4" a="1"/>
  <c r="BV30" i="4" s="1"/>
  <c r="K30" i="4"/>
  <c r="BC30" i="4" a="1"/>
  <c r="BC30" i="4" s="1"/>
  <c r="BS30" i="4"/>
  <c r="D30" i="4"/>
  <c r="AZ30" i="4"/>
  <c r="I30" i="4"/>
  <c r="A30" i="20"/>
  <c r="A32" i="9"/>
  <c r="M30" i="4"/>
  <c r="C30" i="4"/>
  <c r="A30" i="4"/>
  <c r="BU30" i="4" a="1"/>
  <c r="BU30" i="4" s="1"/>
  <c r="D30" i="1"/>
  <c r="D82" i="1"/>
  <c r="A82" i="20"/>
  <c r="A84" i="9"/>
  <c r="BU82" i="4" a="1"/>
  <c r="BU82" i="4" s="1"/>
  <c r="D82" i="4"/>
  <c r="BC82" i="4" a="1"/>
  <c r="BC82" i="4" s="1"/>
  <c r="BV82" i="4" a="1"/>
  <c r="BV82" i="4" s="1"/>
  <c r="C82" i="4"/>
  <c r="BC46" i="4" a="1"/>
  <c r="BC46" i="4" s="1"/>
  <c r="BV46" i="4" a="1"/>
  <c r="BV46" i="4" s="1"/>
  <c r="D46" i="1"/>
  <c r="A48" i="9"/>
  <c r="A46" i="4"/>
  <c r="D46" i="4"/>
  <c r="AZ46" i="4"/>
  <c r="A46" i="20"/>
  <c r="C46" i="4"/>
  <c r="I46" i="4"/>
  <c r="BS46" i="4"/>
  <c r="M46" i="4"/>
  <c r="K46" i="4"/>
  <c r="BU46" i="4" a="1"/>
  <c r="BU46" i="4" s="1"/>
  <c r="BC80" i="4" a="1"/>
  <c r="BC80" i="4" s="1"/>
  <c r="BU80" i="4" a="1"/>
  <c r="BU80" i="4" s="1"/>
  <c r="D80" i="1"/>
  <c r="A82" i="9"/>
  <c r="D80" i="4"/>
  <c r="A80" i="20"/>
  <c r="C80" i="4"/>
  <c r="BV80" i="4" a="1"/>
  <c r="BV80" i="4" s="1"/>
  <c r="A786" i="13"/>
  <c r="AX786" i="13" s="1"/>
  <c r="A1084" i="13"/>
  <c r="A985" i="13"/>
  <c r="AX985" i="13" s="1"/>
  <c r="AX687" i="13"/>
  <c r="A687" i="13"/>
  <c r="A1183" i="13"/>
  <c r="AX87" i="13"/>
  <c r="A886" i="13"/>
  <c r="AX886" i="13" s="1"/>
  <c r="A587" i="13"/>
  <c r="AX1084" i="13"/>
  <c r="A487" i="13"/>
  <c r="A187" i="13"/>
  <c r="AX587" i="13"/>
  <c r="AX487" i="13"/>
  <c r="BU39" i="4" a="1"/>
  <c r="BU39" i="4" s="1"/>
  <c r="M39" i="4"/>
  <c r="AZ39" i="4"/>
  <c r="A39" i="20"/>
  <c r="A41" i="9"/>
  <c r="D39" i="4"/>
  <c r="C39" i="4"/>
  <c r="BS39" i="4"/>
  <c r="I39" i="4"/>
  <c r="A39" i="4"/>
  <c r="BC39" i="4" a="1"/>
  <c r="BC39" i="4" s="1"/>
  <c r="BV39" i="4" a="1"/>
  <c r="BV39" i="4" s="1"/>
  <c r="K39" i="4"/>
  <c r="D39" i="1"/>
  <c r="A436" i="13"/>
  <c r="AX636" i="13"/>
  <c r="A1132" i="13"/>
  <c r="AX1033" i="13"/>
  <c r="AX36" i="13"/>
  <c r="AX436" i="13"/>
  <c r="A934" i="13"/>
  <c r="AX934" i="13" s="1"/>
  <c r="AX536" i="13"/>
  <c r="A735" i="13"/>
  <c r="AX735" i="13" s="1"/>
  <c r="A536" i="13"/>
  <c r="A835" i="13"/>
  <c r="AX835" i="13" s="1"/>
  <c r="A636" i="13"/>
  <c r="A1033" i="13"/>
  <c r="A136" i="13"/>
  <c r="AX77" i="13"/>
  <c r="AX1074" i="13"/>
  <c r="A477" i="13"/>
  <c r="A177" i="13"/>
  <c r="A876" i="13"/>
  <c r="AX876" i="13" s="1"/>
  <c r="A1074" i="13"/>
  <c r="AX677" i="13"/>
  <c r="AX577" i="13"/>
  <c r="A776" i="13"/>
  <c r="AX776" i="13" s="1"/>
  <c r="A577" i="13"/>
  <c r="AX477" i="13"/>
  <c r="A1173" i="13"/>
  <c r="A975" i="13"/>
  <c r="AX975" i="13" s="1"/>
  <c r="A677" i="13"/>
  <c r="A572" i="13"/>
  <c r="A172" i="13"/>
  <c r="A771" i="13"/>
  <c r="AX771" i="13" s="1"/>
  <c r="A1069" i="13"/>
  <c r="A672" i="13"/>
  <c r="A871" i="13"/>
  <c r="AX871" i="13" s="1"/>
  <c r="A472" i="13"/>
  <c r="A1168" i="13"/>
  <c r="A970" i="13"/>
  <c r="AX970" i="13" s="1"/>
  <c r="AX1069" i="13"/>
  <c r="AX572" i="13"/>
  <c r="AX472" i="13"/>
  <c r="AX72" i="13"/>
  <c r="AX672" i="13"/>
  <c r="A694" i="13"/>
  <c r="A992" i="13"/>
  <c r="AX992" i="13" s="1"/>
  <c r="A1091" i="13"/>
  <c r="AX694" i="13"/>
  <c r="AX494" i="13"/>
  <c r="A793" i="13"/>
  <c r="AX793" i="13" s="1"/>
  <c r="A494" i="13"/>
  <c r="AX594" i="13"/>
  <c r="AX1091" i="13"/>
  <c r="AX94" i="13"/>
  <c r="A1190" i="13"/>
  <c r="A893" i="13"/>
  <c r="AX893" i="13" s="1"/>
  <c r="A194" i="13"/>
  <c r="A594" i="13"/>
  <c r="AZ5" i="4"/>
  <c r="BU5" i="4" a="1"/>
  <c r="BU5" i="4" s="1"/>
  <c r="A5" i="20"/>
  <c r="BC5" i="4" a="1"/>
  <c r="BC5" i="4" s="1"/>
  <c r="C5" i="4"/>
  <c r="M5" i="4"/>
  <c r="I5" i="4"/>
  <c r="H13" i="71" s="1"/>
  <c r="BV5" i="4" a="1"/>
  <c r="BV5" i="4" s="1"/>
  <c r="A7" i="9"/>
  <c r="D5" i="4"/>
  <c r="BS5" i="4"/>
  <c r="A5" i="4"/>
  <c r="D5" i="1"/>
  <c r="K5" i="4"/>
  <c r="T15" i="71"/>
  <c r="T32" i="71"/>
  <c r="W28" i="71"/>
  <c r="W22" i="22"/>
  <c r="Y22" i="22" s="1"/>
  <c r="T34" i="71"/>
  <c r="W30" i="71"/>
  <c r="T25" i="71"/>
  <c r="T9" i="71"/>
  <c r="W16" i="71"/>
  <c r="W29" i="71"/>
  <c r="W13" i="71"/>
  <c r="E353" i="15"/>
  <c r="J565" i="15"/>
  <c r="W20" i="71"/>
  <c r="T14" i="71"/>
  <c r="W17" i="71"/>
  <c r="W8" i="71"/>
  <c r="X38" i="71"/>
  <c r="T24" i="71"/>
  <c r="W7" i="71"/>
  <c r="W18" i="71"/>
  <c r="W11" i="71"/>
  <c r="T30" i="71"/>
  <c r="V19" i="22"/>
  <c r="T29" i="71"/>
  <c r="T31" i="71"/>
  <c r="T19" i="71"/>
  <c r="W31" i="71"/>
  <c r="W27" i="71"/>
  <c r="W6" i="71"/>
  <c r="W15" i="71"/>
  <c r="W26" i="71"/>
  <c r="U38" i="71"/>
  <c r="J563" i="15"/>
  <c r="W35" i="71"/>
  <c r="W9" i="71"/>
  <c r="W25" i="71"/>
  <c r="W19" i="22"/>
  <c r="Y19" i="22" s="1"/>
  <c r="T12" i="71"/>
  <c r="T18" i="71"/>
  <c r="T5" i="71"/>
  <c r="W10" i="71"/>
  <c r="V22" i="22"/>
  <c r="W22" i="71"/>
  <c r="T4" i="71"/>
  <c r="W21" i="71"/>
  <c r="E179" i="15"/>
  <c r="W33" i="71"/>
  <c r="T36" i="71"/>
  <c r="T20" i="71"/>
  <c r="T26" i="71"/>
  <c r="W14" i="71"/>
  <c r="T21" i="71"/>
  <c r="T11" i="71"/>
  <c r="T28" i="71"/>
  <c r="W34" i="71"/>
  <c r="T10" i="71"/>
  <c r="J575" i="15"/>
  <c r="T27" i="71"/>
  <c r="T13" i="71"/>
  <c r="T16" i="71"/>
  <c r="W23" i="71"/>
  <c r="T33" i="71"/>
  <c r="T35" i="71"/>
  <c r="W19" i="71"/>
  <c r="T6" i="71"/>
  <c r="W5" i="71"/>
  <c r="W36" i="71"/>
  <c r="T7" i="71"/>
  <c r="T23" i="71"/>
  <c r="T17" i="71"/>
  <c r="W24" i="71"/>
  <c r="W12" i="71"/>
  <c r="T8" i="71"/>
  <c r="AS9" i="72"/>
  <c r="J9" i="72"/>
  <c r="W9" i="69"/>
  <c r="AC9" i="69"/>
  <c r="W10" i="69"/>
  <c r="AV1504" i="13"/>
  <c r="AV1603" i="13" s="1"/>
  <c r="W4" i="71"/>
  <c r="J9" i="69"/>
  <c r="Q10" i="69"/>
  <c r="AB10" i="72" a="1"/>
  <c r="AB10" i="72" s="1"/>
  <c r="N10" i="69" a="1"/>
  <c r="N10" i="69" s="1"/>
  <c r="AC10" i="72"/>
  <c r="AC9" i="72"/>
  <c r="P9" i="69"/>
  <c r="N9" i="72" a="1"/>
  <c r="N9" i="72" s="1"/>
  <c r="BB9" i="72"/>
  <c r="BC10" i="72"/>
  <c r="Y9" i="69"/>
  <c r="Q9" i="69"/>
  <c r="W9" i="72"/>
  <c r="N10" i="72" a="1"/>
  <c r="N10" i="72" s="1"/>
  <c r="AX10" i="69"/>
  <c r="BB10" i="72"/>
  <c r="N9" i="69" a="1"/>
  <c r="N9" i="69" s="1"/>
  <c r="Y9" i="72"/>
  <c r="A10" i="69"/>
  <c r="L10" i="69"/>
  <c r="T22" i="71"/>
  <c r="A9" i="72"/>
  <c r="AB9" i="72" a="1"/>
  <c r="AB9" i="72" s="1"/>
  <c r="P9" i="72"/>
  <c r="H12" i="9"/>
  <c r="Z1508" i="13"/>
  <c r="A10" i="72"/>
  <c r="BC9" i="72"/>
  <c r="AB10" i="69" a="1"/>
  <c r="AB10" i="69" s="1"/>
  <c r="AN10" i="69"/>
  <c r="L10" i="72"/>
  <c r="W10" i="72"/>
  <c r="H11" i="9"/>
  <c r="AN9" i="69"/>
  <c r="A9" i="69"/>
  <c r="AX9" i="69"/>
  <c r="P10" i="72"/>
  <c r="AC10" i="69"/>
  <c r="AV1405" i="13"/>
  <c r="Q9" i="72"/>
  <c r="Y10" i="69"/>
  <c r="Q10" i="72"/>
  <c r="AW9" i="69"/>
  <c r="Y10" i="72"/>
  <c r="AV1503" i="13"/>
  <c r="AV1602" i="13" s="1"/>
  <c r="W32" i="71"/>
  <c r="BA31" i="71"/>
  <c r="AB9" i="69" a="1"/>
  <c r="AB9" i="69" s="1"/>
  <c r="AS10" i="72"/>
  <c r="P10" i="69"/>
  <c r="AW10" i="69"/>
  <c r="Z1509" i="13"/>
  <c r="S97" i="22"/>
  <c r="D65" i="4"/>
  <c r="BC65" i="4" a="1"/>
  <c r="BC65" i="4" s="1"/>
  <c r="A67" i="9"/>
  <c r="BU65" i="4" a="1"/>
  <c r="BU65" i="4" s="1"/>
  <c r="A65" i="20"/>
  <c r="D65" i="1"/>
  <c r="C65" i="4"/>
  <c r="BV65" i="4" a="1"/>
  <c r="BV65" i="4" s="1"/>
  <c r="AX422" i="13"/>
  <c r="A1118" i="13"/>
  <c r="AX1019" i="13"/>
  <c r="AX22" i="13"/>
  <c r="AX622" i="13"/>
  <c r="A821" i="13"/>
  <c r="AX821" i="13" s="1"/>
  <c r="A622" i="13"/>
  <c r="A721" i="13"/>
  <c r="AX721" i="13" s="1"/>
  <c r="A422" i="13"/>
  <c r="A122" i="13"/>
  <c r="AX522" i="13"/>
  <c r="A1019" i="13"/>
  <c r="A920" i="13"/>
  <c r="AX920" i="13" s="1"/>
  <c r="A522" i="13"/>
  <c r="A831" i="13"/>
  <c r="AX831" i="13" s="1"/>
  <c r="A432" i="13"/>
  <c r="A731" i="13"/>
  <c r="AX731" i="13" s="1"/>
  <c r="AX432" i="13"/>
  <c r="AX632" i="13"/>
  <c r="A930" i="13"/>
  <c r="AX930" i="13" s="1"/>
  <c r="A1128" i="13"/>
  <c r="A132" i="13"/>
  <c r="AX32" i="13"/>
  <c r="A632" i="13"/>
  <c r="AX532" i="13"/>
  <c r="A1029" i="13"/>
  <c r="A532" i="13"/>
  <c r="AX1029" i="13"/>
  <c r="AX84" i="13"/>
  <c r="A1081" i="13"/>
  <c r="A584" i="13"/>
  <c r="A982" i="13"/>
  <c r="AX982" i="13" s="1"/>
  <c r="A883" i="13"/>
  <c r="AX883" i="13" s="1"/>
  <c r="AX684" i="13"/>
  <c r="AX584" i="13"/>
  <c r="A1180" i="13"/>
  <c r="AX484" i="13"/>
  <c r="A184" i="13"/>
  <c r="A783" i="13"/>
  <c r="AX783" i="13" s="1"/>
  <c r="AX1081" i="13"/>
  <c r="A484" i="13"/>
  <c r="A684" i="13"/>
  <c r="A747" i="13"/>
  <c r="AX747" i="13" s="1"/>
  <c r="A946" i="13"/>
  <c r="AX946" i="13" s="1"/>
  <c r="AX448" i="13"/>
  <c r="AX548" i="13"/>
  <c r="AX48" i="13"/>
  <c r="A648" i="13"/>
  <c r="A1144" i="13"/>
  <c r="A148" i="13"/>
  <c r="A847" i="13"/>
  <c r="AX847" i="13" s="1"/>
  <c r="A448" i="13"/>
  <c r="AX648" i="13"/>
  <c r="A1045" i="13"/>
  <c r="A548" i="13"/>
  <c r="AX1045" i="13"/>
  <c r="C12" i="4"/>
  <c r="BS12" i="4"/>
  <c r="BV12" i="4" a="1"/>
  <c r="BV12" i="4" s="1"/>
  <c r="D12" i="4"/>
  <c r="A12" i="20"/>
  <c r="A14" i="9"/>
  <c r="A12" i="4"/>
  <c r="BC12" i="4" a="1"/>
  <c r="BC12" i="4" s="1"/>
  <c r="D12" i="1"/>
  <c r="I12" i="4"/>
  <c r="M12" i="4"/>
  <c r="K12" i="4"/>
  <c r="BU12" i="4" a="1"/>
  <c r="BU12" i="4" s="1"/>
  <c r="AZ12" i="4"/>
  <c r="AX1156" i="13"/>
  <c r="A1255" i="13"/>
  <c r="AX495" i="13"/>
  <c r="A1092" i="13"/>
  <c r="A993" i="13"/>
  <c r="AX993" i="13" s="1"/>
  <c r="A794" i="13"/>
  <c r="AX794" i="13" s="1"/>
  <c r="A195" i="13"/>
  <c r="A495" i="13"/>
  <c r="AX95" i="13"/>
  <c r="A894" i="13"/>
  <c r="AX894" i="13" s="1"/>
  <c r="AX595" i="13"/>
  <c r="A595" i="13"/>
  <c r="AX1092" i="13"/>
  <c r="A695" i="13"/>
  <c r="A1191" i="13"/>
  <c r="AX695" i="13"/>
  <c r="A134" i="13"/>
  <c r="A534" i="13"/>
  <c r="AX534" i="13"/>
  <c r="A733" i="13"/>
  <c r="AX733" i="13" s="1"/>
  <c r="A1031" i="13"/>
  <c r="AX634" i="13"/>
  <c r="AX1031" i="13"/>
  <c r="A1130" i="13"/>
  <c r="A932" i="13"/>
  <c r="AX932" i="13" s="1"/>
  <c r="A634" i="13"/>
  <c r="A833" i="13"/>
  <c r="AX833" i="13" s="1"/>
  <c r="A434" i="13"/>
  <c r="AX434" i="13"/>
  <c r="AX34" i="13"/>
  <c r="D56" i="4"/>
  <c r="BU56" i="4" a="1"/>
  <c r="BU56" i="4" s="1"/>
  <c r="A56" i="20"/>
  <c r="BV56" i="4" a="1"/>
  <c r="BV56" i="4" s="1"/>
  <c r="A58" i="9"/>
  <c r="D56" i="1"/>
  <c r="C56" i="4"/>
  <c r="S88" i="22"/>
  <c r="BC56" i="4" a="1"/>
  <c r="BC56" i="4" s="1"/>
  <c r="M34" i="4"/>
  <c r="A34" i="4"/>
  <c r="A34" i="20"/>
  <c r="BU34" i="4" a="1"/>
  <c r="BU34" i="4" s="1"/>
  <c r="BC34" i="4" a="1"/>
  <c r="BC34" i="4" s="1"/>
  <c r="BS34" i="4"/>
  <c r="A36" i="9"/>
  <c r="D34" i="1"/>
  <c r="D34" i="4"/>
  <c r="AZ34" i="4"/>
  <c r="BV34" i="4" a="1"/>
  <c r="BV34" i="4" s="1"/>
  <c r="C34" i="4"/>
  <c r="I34" i="4"/>
  <c r="K34" i="4"/>
  <c r="D75" i="4"/>
  <c r="BU75" i="4" a="1"/>
  <c r="BU75" i="4" s="1"/>
  <c r="A77" i="9"/>
  <c r="BC75" i="4" a="1"/>
  <c r="BC75" i="4" s="1"/>
  <c r="A75" i="20"/>
  <c r="D75" i="1"/>
  <c r="BV75" i="4" a="1"/>
  <c r="BV75" i="4" s="1"/>
  <c r="C75" i="4"/>
  <c r="D70" i="1"/>
  <c r="BU70" i="4" a="1"/>
  <c r="BU70" i="4" s="1"/>
  <c r="D70" i="4"/>
  <c r="BC70" i="4" a="1"/>
  <c r="BC70" i="4" s="1"/>
  <c r="A72" i="9"/>
  <c r="A70" i="20"/>
  <c r="BV70" i="4" a="1"/>
  <c r="BV70" i="4" s="1"/>
  <c r="C70" i="4"/>
  <c r="D92" i="1"/>
  <c r="C92" i="4"/>
  <c r="A94" i="9"/>
  <c r="A92" i="20"/>
  <c r="D92" i="4"/>
  <c r="BV92" i="4" a="1"/>
  <c r="BV92" i="4" s="1"/>
  <c r="BC92" i="4" a="1"/>
  <c r="BC92" i="4" s="1"/>
  <c r="BU92" i="4" a="1"/>
  <c r="BU92" i="4" s="1"/>
  <c r="AX565" i="13"/>
  <c r="A665" i="13"/>
  <c r="A565" i="13"/>
  <c r="AX65" i="13"/>
  <c r="A864" i="13"/>
  <c r="AX864" i="13" s="1"/>
  <c r="A165" i="13"/>
  <c r="AX465" i="13"/>
  <c r="AX1062" i="13"/>
  <c r="A1062" i="13"/>
  <c r="A764" i="13"/>
  <c r="AX764" i="13" s="1"/>
  <c r="AX665" i="13"/>
  <c r="A465" i="13"/>
  <c r="A1161" i="13"/>
  <c r="A963" i="13"/>
  <c r="AX963" i="13" s="1"/>
  <c r="A42" i="4"/>
  <c r="I42" i="4"/>
  <c r="BC42" i="4" a="1"/>
  <c r="BC42" i="4" s="1"/>
  <c r="A42" i="20"/>
  <c r="BV42" i="4" a="1"/>
  <c r="BV42" i="4" s="1"/>
  <c r="A44" i="9"/>
  <c r="M42" i="4"/>
  <c r="K42" i="4"/>
  <c r="BS42" i="4"/>
  <c r="D42" i="1"/>
  <c r="BU42" i="4" a="1"/>
  <c r="BU42" i="4" s="1"/>
  <c r="D42" i="4"/>
  <c r="C42" i="4"/>
  <c r="AZ42" i="4"/>
  <c r="BS26" i="4"/>
  <c r="A26" i="20"/>
  <c r="D26" i="4"/>
  <c r="A26" i="4"/>
  <c r="A28" i="9"/>
  <c r="C26" i="4"/>
  <c r="BU26" i="4" a="1"/>
  <c r="BU26" i="4" s="1"/>
  <c r="K26" i="4"/>
  <c r="BV26" i="4" a="1"/>
  <c r="BV26" i="4" s="1"/>
  <c r="BC26" i="4" a="1"/>
  <c r="BC26" i="4" s="1"/>
  <c r="D26" i="1"/>
  <c r="M26" i="4"/>
  <c r="AZ26" i="4"/>
  <c r="I26" i="4"/>
  <c r="B10" i="4"/>
  <c r="BA10" i="4" a="1"/>
  <c r="BA10" i="4" s="1"/>
  <c r="BB10" i="4" s="1"/>
  <c r="AV112" i="13" s="1"/>
  <c r="CU10" i="4"/>
  <c r="CV10" i="4" s="1"/>
  <c r="DB10" i="4"/>
  <c r="AM10" i="69" s="1"/>
  <c r="AX10" i="4"/>
  <c r="A107" i="13"/>
  <c r="A407" i="13"/>
  <c r="A607" i="13"/>
  <c r="AX407" i="13"/>
  <c r="AX1004" i="13"/>
  <c r="AX507" i="13"/>
  <c r="A1103" i="13"/>
  <c r="AX7" i="13"/>
  <c r="A905" i="13"/>
  <c r="AX905" i="13" s="1"/>
  <c r="A706" i="13"/>
  <c r="A507" i="13"/>
  <c r="A1004" i="13"/>
  <c r="AX607" i="13"/>
  <c r="A806" i="13"/>
  <c r="AX806" i="13" s="1"/>
  <c r="M44" i="4"/>
  <c r="K44" i="4"/>
  <c r="A44" i="20"/>
  <c r="D44" i="1"/>
  <c r="AZ44" i="4"/>
  <c r="C44" i="4"/>
  <c r="A44" i="4"/>
  <c r="BC44" i="4" a="1"/>
  <c r="BC44" i="4" s="1"/>
  <c r="D44" i="4"/>
  <c r="I44" i="4"/>
  <c r="BV44" i="4" a="1"/>
  <c r="BV44" i="4" s="1"/>
  <c r="BU44" i="4" a="1"/>
  <c r="BU44" i="4" s="1"/>
  <c r="BS44" i="4"/>
  <c r="A46" i="9"/>
  <c r="A37" i="9"/>
  <c r="I35" i="4"/>
  <c r="BS35" i="4"/>
  <c r="D35" i="4"/>
  <c r="A35" i="20"/>
  <c r="C35" i="4"/>
  <c r="BU35" i="4" a="1"/>
  <c r="BU35" i="4" s="1"/>
  <c r="AZ35" i="4"/>
  <c r="K35" i="4"/>
  <c r="BC35" i="4" a="1"/>
  <c r="BC35" i="4" s="1"/>
  <c r="BV35" i="4" a="1"/>
  <c r="BV35" i="4" s="1"/>
  <c r="A35" i="4"/>
  <c r="D35" i="1"/>
  <c r="M35" i="4"/>
  <c r="A414" i="13"/>
  <c r="A514" i="13"/>
  <c r="A912" i="13"/>
  <c r="AX912" i="13" s="1"/>
  <c r="AX1011" i="13"/>
  <c r="A1011" i="13"/>
  <c r="A614" i="13"/>
  <c r="A1110" i="13"/>
  <c r="A713" i="13"/>
  <c r="AX713" i="13" s="1"/>
  <c r="AX614" i="13"/>
  <c r="AX514" i="13"/>
  <c r="A813" i="13"/>
  <c r="AX813" i="13" s="1"/>
  <c r="AX14" i="13"/>
  <c r="AX414" i="13"/>
  <c r="A114" i="13"/>
  <c r="Z1257" i="13"/>
  <c r="Z1455" i="13"/>
  <c r="BY58" i="4" a="1"/>
  <c r="BY58" i="4" s="1"/>
  <c r="BZ58" i="4" a="1"/>
  <c r="BZ58" i="4" s="1"/>
  <c r="BX58" i="4" s="1" a="1"/>
  <c r="BX58" i="4" s="1"/>
  <c r="BC93" i="4" a="1"/>
  <c r="BC93" i="4" s="1"/>
  <c r="BV93" i="4" a="1"/>
  <c r="BV93" i="4" s="1"/>
  <c r="D93" i="1"/>
  <c r="A95" i="9"/>
  <c r="A93" i="20"/>
  <c r="BU93" i="4" a="1"/>
  <c r="BU93" i="4" s="1"/>
  <c r="C93" i="4"/>
  <c r="D93" i="4"/>
  <c r="A32" i="20"/>
  <c r="D32" i="4"/>
  <c r="I32" i="4"/>
  <c r="BC32" i="4" a="1"/>
  <c r="BC32" i="4" s="1"/>
  <c r="C32" i="4"/>
  <c r="D32" i="1"/>
  <c r="BS32" i="4"/>
  <c r="BU32" i="4" a="1"/>
  <c r="BU32" i="4" s="1"/>
  <c r="A32" i="4"/>
  <c r="K32" i="4"/>
  <c r="AZ32" i="4"/>
  <c r="M32" i="4"/>
  <c r="BV32" i="4" a="1"/>
  <c r="BV32" i="4" s="1"/>
  <c r="A34" i="9"/>
  <c r="A1055" i="13"/>
  <c r="AX658" i="13"/>
  <c r="AX458" i="13"/>
  <c r="A956" i="13"/>
  <c r="AX956" i="13" s="1"/>
  <c r="A558" i="13"/>
  <c r="A158" i="13"/>
  <c r="A458" i="13"/>
  <c r="A1154" i="13"/>
  <c r="A857" i="13"/>
  <c r="AX857" i="13" s="1"/>
  <c r="A658" i="13"/>
  <c r="AX558" i="13"/>
  <c r="AX58" i="13"/>
  <c r="A757" i="13"/>
  <c r="AX757" i="13" s="1"/>
  <c r="AX1055" i="13"/>
  <c r="A1117" i="13"/>
  <c r="A720" i="13"/>
  <c r="AX720" i="13" s="1"/>
  <c r="AX521" i="13"/>
  <c r="A1018" i="13"/>
  <c r="A421" i="13"/>
  <c r="AX421" i="13"/>
  <c r="A919" i="13"/>
  <c r="AX919" i="13" s="1"/>
  <c r="A621" i="13"/>
  <c r="A521" i="13"/>
  <c r="AX1018" i="13"/>
  <c r="A820" i="13"/>
  <c r="AX820" i="13" s="1"/>
  <c r="A121" i="13"/>
  <c r="AX21" i="13"/>
  <c r="AX621" i="13"/>
  <c r="M51" i="4"/>
  <c r="K51" i="4"/>
  <c r="A51" i="4"/>
  <c r="C51" i="4"/>
  <c r="A53" i="9"/>
  <c r="BU51" i="4" a="1"/>
  <c r="BU51" i="4" s="1"/>
  <c r="A51" i="20"/>
  <c r="D51" i="4"/>
  <c r="BC51" i="4" a="1"/>
  <c r="BC51" i="4" s="1"/>
  <c r="I51" i="4"/>
  <c r="BV51" i="4" a="1"/>
  <c r="BV51" i="4" s="1"/>
  <c r="BS51" i="4"/>
  <c r="AZ51" i="4"/>
  <c r="D51" i="1"/>
  <c r="A1085" i="13"/>
  <c r="AX588" i="13"/>
  <c r="AX88" i="13"/>
  <c r="A188" i="13"/>
  <c r="A688" i="13"/>
  <c r="AX1085" i="13"/>
  <c r="A887" i="13"/>
  <c r="AX887" i="13" s="1"/>
  <c r="A787" i="13"/>
  <c r="AX787" i="13" s="1"/>
  <c r="A588" i="13"/>
  <c r="AX688" i="13"/>
  <c r="A1184" i="13"/>
  <c r="AX488" i="13"/>
  <c r="A986" i="13"/>
  <c r="AX986" i="13" s="1"/>
  <c r="A488" i="13"/>
  <c r="C41" i="4"/>
  <c r="BC41" i="4" a="1"/>
  <c r="BC41" i="4" s="1"/>
  <c r="K41" i="4"/>
  <c r="M41" i="4"/>
  <c r="AZ41" i="4"/>
  <c r="A43" i="9"/>
  <c r="D41" i="1"/>
  <c r="I41" i="4"/>
  <c r="BV41" i="4" a="1"/>
  <c r="BV41" i="4" s="1"/>
  <c r="A41" i="4"/>
  <c r="D41" i="4"/>
  <c r="BU41" i="4" a="1"/>
  <c r="BU41" i="4" s="1"/>
  <c r="A41" i="20"/>
  <c r="BS41" i="4"/>
  <c r="BV63" i="4" a="1"/>
  <c r="BV63" i="4" s="1"/>
  <c r="S95" i="22"/>
  <c r="A65" i="9"/>
  <c r="C63" i="4"/>
  <c r="BU63" i="4" a="1"/>
  <c r="BU63" i="4" s="1"/>
  <c r="D63" i="4"/>
  <c r="BC63" i="4" a="1"/>
  <c r="BC63" i="4" s="1"/>
  <c r="D63" i="1"/>
  <c r="A63" i="20"/>
  <c r="A144" i="13"/>
  <c r="AX644" i="13"/>
  <c r="A1140" i="13"/>
  <c r="A544" i="13"/>
  <c r="AX444" i="13"/>
  <c r="AX544" i="13"/>
  <c r="AX1041" i="13"/>
  <c r="AX44" i="13"/>
  <c r="A1041" i="13"/>
  <c r="A444" i="13"/>
  <c r="A942" i="13"/>
  <c r="AX942" i="13" s="1"/>
  <c r="A743" i="13"/>
  <c r="AX743" i="13" s="1"/>
  <c r="A843" i="13"/>
  <c r="AX843" i="13" s="1"/>
  <c r="A644" i="13"/>
  <c r="A528" i="13"/>
  <c r="A128" i="13"/>
  <c r="A628" i="13"/>
  <c r="A1025" i="13"/>
  <c r="AX628" i="13"/>
  <c r="A428" i="13"/>
  <c r="AX528" i="13"/>
  <c r="AX428" i="13"/>
  <c r="A926" i="13"/>
  <c r="AX926" i="13" s="1"/>
  <c r="AX28" i="13"/>
  <c r="A827" i="13"/>
  <c r="AX827" i="13" s="1"/>
  <c r="A1124" i="13"/>
  <c r="A727" i="13"/>
  <c r="AX727" i="13" s="1"/>
  <c r="AX1025" i="13"/>
  <c r="I12" i="27"/>
  <c r="A751" i="13"/>
  <c r="AX751" i="13" s="1"/>
  <c r="AX652" i="13"/>
  <c r="AX52" i="13"/>
  <c r="A452" i="13"/>
  <c r="A950" i="13"/>
  <c r="AX950" i="13" s="1"/>
  <c r="AX552" i="13"/>
  <c r="A851" i="13"/>
  <c r="AX851" i="13" s="1"/>
  <c r="A652" i="13"/>
  <c r="AX1049" i="13"/>
  <c r="A1049" i="13"/>
  <c r="A152" i="13"/>
  <c r="A1148" i="13"/>
  <c r="A552" i="13"/>
  <c r="AX452" i="13"/>
  <c r="DC3" i="4"/>
  <c r="T3" i="4"/>
  <c r="AV205" i="13"/>
  <c r="I1703" i="13"/>
  <c r="AX1695" i="13"/>
  <c r="AX1696" i="13" s="1"/>
  <c r="A546" i="13"/>
  <c r="A745" i="13"/>
  <c r="AX745" i="13" s="1"/>
  <c r="A1043" i="13"/>
  <c r="A944" i="13"/>
  <c r="AX944" i="13" s="1"/>
  <c r="A646" i="13"/>
  <c r="A845" i="13"/>
  <c r="AX845" i="13" s="1"/>
  <c r="A146" i="13"/>
  <c r="A446" i="13"/>
  <c r="AX646" i="13"/>
  <c r="AX46" i="13"/>
  <c r="AX546" i="13"/>
  <c r="AX1043" i="13"/>
  <c r="AX446" i="13"/>
  <c r="A1142" i="13"/>
  <c r="AX1034" i="13"/>
  <c r="A537" i="13"/>
  <c r="AX537" i="13"/>
  <c r="A935" i="13"/>
  <c r="AX935" i="13" s="1"/>
  <c r="A836" i="13"/>
  <c r="AX836" i="13" s="1"/>
  <c r="A736" i="13"/>
  <c r="AX736" i="13" s="1"/>
  <c r="AX637" i="13"/>
  <c r="AX37" i="13"/>
  <c r="A1034" i="13"/>
  <c r="A437" i="13"/>
  <c r="AX437" i="13"/>
  <c r="A137" i="13"/>
  <c r="A1133" i="13"/>
  <c r="A637" i="13"/>
  <c r="A485" i="13"/>
  <c r="AX1082" i="13"/>
  <c r="A585" i="13"/>
  <c r="A784" i="13"/>
  <c r="AX784" i="13" s="1"/>
  <c r="AX685" i="13"/>
  <c r="A185" i="13"/>
  <c r="A884" i="13"/>
  <c r="AX884" i="13" s="1"/>
  <c r="AX585" i="13"/>
  <c r="A1181" i="13"/>
  <c r="AX485" i="13"/>
  <c r="A983" i="13"/>
  <c r="AX983" i="13" s="1"/>
  <c r="AX85" i="13"/>
  <c r="A685" i="13"/>
  <c r="A1082" i="13"/>
  <c r="BC25" i="4" a="1"/>
  <c r="BC25" i="4" s="1"/>
  <c r="BV25" i="4" a="1"/>
  <c r="BV25" i="4" s="1"/>
  <c r="BS25" i="4"/>
  <c r="I25" i="4"/>
  <c r="A25" i="20"/>
  <c r="D25" i="1"/>
  <c r="C25" i="4"/>
  <c r="BU25" i="4" a="1"/>
  <c r="BU25" i="4" s="1"/>
  <c r="D25" i="4"/>
  <c r="M25" i="4"/>
  <c r="AZ25" i="4"/>
  <c r="K25" i="4"/>
  <c r="A25" i="4"/>
  <c r="A27" i="9"/>
  <c r="G58" i="4"/>
  <c r="BO58" i="4"/>
  <c r="AV262" i="13"/>
  <c r="DC62" i="4"/>
  <c r="BU49" i="4" a="1"/>
  <c r="BU49" i="4" s="1"/>
  <c r="A49" i="4"/>
  <c r="A49" i="20"/>
  <c r="AZ49" i="4"/>
  <c r="I49" i="4"/>
  <c r="D49" i="4"/>
  <c r="A51" i="9"/>
  <c r="K49" i="4"/>
  <c r="D49" i="1"/>
  <c r="BS49" i="4"/>
  <c r="BC49" i="4" a="1"/>
  <c r="BC49" i="4" s="1"/>
  <c r="C49" i="4"/>
  <c r="BV49" i="4" a="1"/>
  <c r="BV49" i="4" s="1"/>
  <c r="M49" i="4"/>
  <c r="A1185" i="13"/>
  <c r="A788" i="13"/>
  <c r="AX788" i="13" s="1"/>
  <c r="A888" i="13"/>
  <c r="AX888" i="13" s="1"/>
  <c r="AX589" i="13"/>
  <c r="A1086" i="13"/>
  <c r="AX1086" i="13"/>
  <c r="AX489" i="13"/>
  <c r="AX689" i="13"/>
  <c r="A689" i="13"/>
  <c r="A589" i="13"/>
  <c r="A489" i="13"/>
  <c r="A189" i="13"/>
  <c r="AX89" i="13"/>
  <c r="A987" i="13"/>
  <c r="AX987" i="13" s="1"/>
  <c r="M19" i="4"/>
  <c r="D19" i="1"/>
  <c r="A19" i="4"/>
  <c r="C19" i="4"/>
  <c r="AZ19" i="4"/>
  <c r="D19" i="4"/>
  <c r="K19" i="4"/>
  <c r="I19" i="4"/>
  <c r="BS19" i="4"/>
  <c r="A19" i="20"/>
  <c r="BU19" i="4" a="1"/>
  <c r="BU19" i="4" s="1"/>
  <c r="BC19" i="4" a="1"/>
  <c r="BC19" i="4" s="1"/>
  <c r="A21" i="9"/>
  <c r="BV19" i="4" a="1"/>
  <c r="BV19" i="4" s="1"/>
  <c r="AX653" i="13"/>
  <c r="A453" i="13"/>
  <c r="AX553" i="13"/>
  <c r="A553" i="13"/>
  <c r="A951" i="13"/>
  <c r="AX951" i="13" s="1"/>
  <c r="A1149" i="13"/>
  <c r="AX53" i="13"/>
  <c r="A852" i="13"/>
  <c r="AX852" i="13" s="1"/>
  <c r="A153" i="13"/>
  <c r="A653" i="13"/>
  <c r="AX453" i="13"/>
  <c r="A1050" i="13"/>
  <c r="AX1050" i="13"/>
  <c r="A752" i="13"/>
  <c r="AX752" i="13" s="1"/>
  <c r="BV86" i="4" a="1"/>
  <c r="BV86" i="4" s="1"/>
  <c r="D86" i="1"/>
  <c r="BC86" i="4" a="1"/>
  <c r="BC86" i="4" s="1"/>
  <c r="A86" i="20"/>
  <c r="C86" i="4"/>
  <c r="A88" i="9"/>
  <c r="D86" i="4"/>
  <c r="BU86" i="4" a="1"/>
  <c r="BU86" i="4" s="1"/>
  <c r="A443" i="13"/>
  <c r="AX43" i="13"/>
  <c r="AX643" i="13"/>
  <c r="A842" i="13"/>
  <c r="AX842" i="13" s="1"/>
  <c r="AX1040" i="13"/>
  <c r="A143" i="13"/>
  <c r="A643" i="13"/>
  <c r="A1139" i="13"/>
  <c r="AX543" i="13"/>
  <c r="A941" i="13"/>
  <c r="AX941" i="13" s="1"/>
  <c r="A1040" i="13"/>
  <c r="A742" i="13"/>
  <c r="AX742" i="13" s="1"/>
  <c r="AX443" i="13"/>
  <c r="A543" i="13"/>
  <c r="DB9" i="4"/>
  <c r="AM9" i="69" s="1"/>
  <c r="CU9" i="4"/>
  <c r="CV9" i="4" s="1"/>
  <c r="AX9" i="4"/>
  <c r="CW9" i="4"/>
  <c r="CX9" i="4" s="1"/>
  <c r="DA9" i="4" a="1"/>
  <c r="DA9" i="4" s="1"/>
  <c r="AL9" i="4"/>
  <c r="AH9" i="4"/>
  <c r="AV1305" i="13" s="1"/>
  <c r="AD9" i="4"/>
  <c r="F9" i="4"/>
  <c r="AP9" i="4"/>
  <c r="AV311" i="13" s="1"/>
  <c r="AV411" i="13" s="1"/>
  <c r="Z9" i="4"/>
  <c r="AV1206" i="13" s="1"/>
  <c r="A52" i="9"/>
  <c r="C50" i="4"/>
  <c r="AZ50" i="4"/>
  <c r="A50" i="20"/>
  <c r="K50" i="4"/>
  <c r="BS50" i="4"/>
  <c r="BV50" i="4" a="1"/>
  <c r="BV50" i="4" s="1"/>
  <c r="D50" i="4"/>
  <c r="A50" i="4"/>
  <c r="M50" i="4"/>
  <c r="I50" i="4"/>
  <c r="D50" i="1"/>
  <c r="BC50" i="4" a="1"/>
  <c r="BC50" i="4" s="1"/>
  <c r="BU50" i="4" a="1"/>
  <c r="BU50" i="4" s="1"/>
  <c r="A1120" i="13"/>
  <c r="AX424" i="13"/>
  <c r="A1021" i="13"/>
  <c r="A524" i="13"/>
  <c r="A124" i="13"/>
  <c r="AX624" i="13"/>
  <c r="A922" i="13"/>
  <c r="AX922" i="13" s="1"/>
  <c r="AX24" i="13"/>
  <c r="AX524" i="13"/>
  <c r="A424" i="13"/>
  <c r="A624" i="13"/>
  <c r="A723" i="13"/>
  <c r="AX723" i="13" s="1"/>
  <c r="AX1021" i="13"/>
  <c r="A823" i="13"/>
  <c r="AX823" i="13" s="1"/>
  <c r="BC68" i="4" a="1"/>
  <c r="BC68" i="4" s="1"/>
  <c r="BV68" i="4" a="1"/>
  <c r="BV68" i="4" s="1"/>
  <c r="BU68" i="4" a="1"/>
  <c r="BU68" i="4" s="1"/>
  <c r="A70" i="9"/>
  <c r="D68" i="4"/>
  <c r="C68" i="4"/>
  <c r="A68" i="20"/>
  <c r="D68" i="1"/>
  <c r="A729" i="13"/>
  <c r="AX729" i="13" s="1"/>
  <c r="A130" i="13"/>
  <c r="AX530" i="13"/>
  <c r="AX630" i="13"/>
  <c r="A1126" i="13"/>
  <c r="A829" i="13"/>
  <c r="AX829" i="13" s="1"/>
  <c r="A1027" i="13"/>
  <c r="AX30" i="13"/>
  <c r="AX430" i="13"/>
  <c r="A630" i="13"/>
  <c r="A928" i="13"/>
  <c r="AX928" i="13" s="1"/>
  <c r="A430" i="13"/>
  <c r="AX1027" i="13"/>
  <c r="A530" i="13"/>
  <c r="A1150" i="13"/>
  <c r="A952" i="13"/>
  <c r="AX952" i="13" s="1"/>
  <c r="AX1051" i="13"/>
  <c r="AX554" i="13"/>
  <c r="AX454" i="13"/>
  <c r="A554" i="13"/>
  <c r="AX654" i="13"/>
  <c r="A154" i="13"/>
  <c r="A654" i="13"/>
  <c r="A1051" i="13"/>
  <c r="A454" i="13"/>
  <c r="A853" i="13"/>
  <c r="AX853" i="13" s="1"/>
  <c r="AX54" i="13"/>
  <c r="A753" i="13"/>
  <c r="AX753" i="13" s="1"/>
  <c r="A972" i="13"/>
  <c r="AX972" i="13" s="1"/>
  <c r="A474" i="13"/>
  <c r="A773" i="13"/>
  <c r="AX773" i="13" s="1"/>
  <c r="A1071" i="13"/>
  <c r="A174" i="13"/>
  <c r="A873" i="13"/>
  <c r="AX873" i="13" s="1"/>
  <c r="AX1071" i="13"/>
  <c r="AX474" i="13"/>
  <c r="A574" i="13"/>
  <c r="AX74" i="13"/>
  <c r="A1170" i="13"/>
  <c r="AX674" i="13"/>
  <c r="A674" i="13"/>
  <c r="AX574" i="13"/>
  <c r="A85" i="9"/>
  <c r="C83" i="4"/>
  <c r="D83" i="1"/>
  <c r="BU83" i="4" a="1"/>
  <c r="BU83" i="4" s="1"/>
  <c r="A83" i="20"/>
  <c r="BV83" i="4" a="1"/>
  <c r="BV83" i="4" s="1"/>
  <c r="BC83" i="4" a="1"/>
  <c r="BC83" i="4" s="1"/>
  <c r="D83" i="4"/>
  <c r="A427" i="13"/>
  <c r="A527" i="13"/>
  <c r="A1024" i="13"/>
  <c r="A627" i="13"/>
  <c r="A925" i="13"/>
  <c r="AX925" i="13" s="1"/>
  <c r="A826" i="13"/>
  <c r="AX826" i="13" s="1"/>
  <c r="A127" i="13"/>
  <c r="A726" i="13"/>
  <c r="AX726" i="13" s="1"/>
  <c r="AX427" i="13"/>
  <c r="AX527" i="13"/>
  <c r="AX27" i="13"/>
  <c r="A1123" i="13"/>
  <c r="AX1024" i="13"/>
  <c r="AX627" i="13"/>
  <c r="AX451" i="13"/>
  <c r="AX1048" i="13"/>
  <c r="A750" i="13"/>
  <c r="AX750" i="13" s="1"/>
  <c r="A651" i="13"/>
  <c r="AX51" i="13"/>
  <c r="A949" i="13"/>
  <c r="AX949" i="13" s="1"/>
  <c r="A1048" i="13"/>
  <c r="AX551" i="13"/>
  <c r="A451" i="13"/>
  <c r="A151" i="13"/>
  <c r="A1147" i="13"/>
  <c r="A850" i="13"/>
  <c r="AX850" i="13" s="1"/>
  <c r="A551" i="13"/>
  <c r="AX651" i="13"/>
  <c r="BC87" i="4" a="1"/>
  <c r="BC87" i="4" s="1"/>
  <c r="D87" i="4"/>
  <c r="BU87" i="4" a="1"/>
  <c r="BU87" i="4" s="1"/>
  <c r="D87" i="1"/>
  <c r="A87" i="20"/>
  <c r="BV87" i="4" a="1"/>
  <c r="BV87" i="4" s="1"/>
  <c r="C87" i="4"/>
  <c r="A89" i="9"/>
  <c r="A71" i="20"/>
  <c r="BC71" i="4" a="1"/>
  <c r="BC71" i="4" s="1"/>
  <c r="C71" i="4"/>
  <c r="BV71" i="4" a="1"/>
  <c r="BV71" i="4" s="1"/>
  <c r="A73" i="9"/>
  <c r="BU71" i="4" a="1"/>
  <c r="BU71" i="4" s="1"/>
  <c r="D71" i="4"/>
  <c r="D71" i="1"/>
  <c r="AX692" i="13"/>
  <c r="A192" i="13"/>
  <c r="AX592" i="13"/>
  <c r="A492" i="13"/>
  <c r="AX92" i="13"/>
  <c r="A692" i="13"/>
  <c r="A1188" i="13"/>
  <c r="A990" i="13"/>
  <c r="AX990" i="13" s="1"/>
  <c r="A1089" i="13"/>
  <c r="A791" i="13"/>
  <c r="AX791" i="13" s="1"/>
  <c r="A592" i="13"/>
  <c r="A891" i="13"/>
  <c r="AX891" i="13" s="1"/>
  <c r="AX492" i="13"/>
  <c r="AX1089" i="13"/>
  <c r="A1179" i="13"/>
  <c r="AX83" i="13"/>
  <c r="A782" i="13"/>
  <c r="AX782" i="13" s="1"/>
  <c r="A1080" i="13"/>
  <c r="AX483" i="13"/>
  <c r="A483" i="13"/>
  <c r="AX1080" i="13"/>
  <c r="AX683" i="13"/>
  <c r="AX583" i="13"/>
  <c r="A981" i="13"/>
  <c r="AX981" i="13" s="1"/>
  <c r="A183" i="13"/>
  <c r="A683" i="13"/>
  <c r="A583" i="13"/>
  <c r="A882" i="13"/>
  <c r="AX882" i="13" s="1"/>
  <c r="A24" i="20"/>
  <c r="D24" i="1"/>
  <c r="A26" i="9"/>
  <c r="BV24" i="4" a="1"/>
  <c r="BV24" i="4" s="1"/>
  <c r="M24" i="4"/>
  <c r="I24" i="4"/>
  <c r="A24" i="4"/>
  <c r="C24" i="4"/>
  <c r="D24" i="4"/>
  <c r="AZ24" i="4"/>
  <c r="BC24" i="4" a="1"/>
  <c r="BC24" i="4" s="1"/>
  <c r="BU24" i="4" a="1"/>
  <c r="BU24" i="4" s="1"/>
  <c r="BS24" i="4"/>
  <c r="K24" i="4"/>
  <c r="DB3" i="4"/>
  <c r="CU3" i="4"/>
  <c r="AX3" i="4"/>
  <c r="B31" i="71"/>
  <c r="B8" i="71"/>
  <c r="B34" i="71"/>
  <c r="B28" i="71"/>
  <c r="B7" i="71"/>
  <c r="B11" i="71"/>
  <c r="B27" i="71"/>
  <c r="C38" i="71"/>
  <c r="B29" i="71"/>
  <c r="H3" i="9"/>
  <c r="B12" i="71"/>
  <c r="B21" i="71"/>
  <c r="B9" i="71"/>
  <c r="B26" i="71"/>
  <c r="B14" i="71"/>
  <c r="B35" i="71"/>
  <c r="B10" i="71"/>
  <c r="B13" i="71"/>
  <c r="B22" i="71"/>
  <c r="B18" i="71"/>
  <c r="B4" i="71"/>
  <c r="B33" i="71"/>
  <c r="B20" i="71"/>
  <c r="B23" i="71"/>
  <c r="B6" i="71"/>
  <c r="B5" i="71"/>
  <c r="B24" i="71"/>
  <c r="B32" i="71"/>
  <c r="B36" i="71"/>
  <c r="B15" i="71"/>
  <c r="B25" i="71"/>
  <c r="B17" i="71"/>
  <c r="B16" i="71"/>
  <c r="B30" i="71"/>
  <c r="B19" i="71"/>
  <c r="H5" i="9"/>
  <c r="AS3" i="4"/>
  <c r="W3" i="72"/>
  <c r="W3" i="69"/>
  <c r="A571" i="13"/>
  <c r="A471" i="13"/>
  <c r="A969" i="13"/>
  <c r="AX969" i="13" s="1"/>
  <c r="AX671" i="13"/>
  <c r="A171" i="13"/>
  <c r="A770" i="13"/>
  <c r="AX770" i="13" s="1"/>
  <c r="A870" i="13"/>
  <c r="AX870" i="13" s="1"/>
  <c r="AX71" i="13"/>
  <c r="A1167" i="13"/>
  <c r="AX1068" i="13"/>
  <c r="AX571" i="13"/>
  <c r="A671" i="13"/>
  <c r="A1068" i="13"/>
  <c r="AX471" i="13"/>
  <c r="I48" i="4"/>
  <c r="A48" i="4"/>
  <c r="C48" i="4"/>
  <c r="BV48" i="4" a="1"/>
  <c r="BV48" i="4" s="1"/>
  <c r="D48" i="4"/>
  <c r="BS48" i="4"/>
  <c r="A50" i="9"/>
  <c r="M48" i="4"/>
  <c r="BU48" i="4" a="1"/>
  <c r="BU48" i="4" s="1"/>
  <c r="A48" i="20"/>
  <c r="AZ48" i="4"/>
  <c r="K48" i="4"/>
  <c r="BC48" i="4" a="1"/>
  <c r="BC48" i="4" s="1"/>
  <c r="D48" i="1"/>
  <c r="A33" i="9"/>
  <c r="BV31" i="4" a="1"/>
  <c r="BV31" i="4" s="1"/>
  <c r="A31" i="20"/>
  <c r="AZ31" i="4"/>
  <c r="D31" i="1"/>
  <c r="D31" i="4"/>
  <c r="BU31" i="4" a="1"/>
  <c r="BU31" i="4" s="1"/>
  <c r="A31" i="4"/>
  <c r="M31" i="4"/>
  <c r="BC31" i="4" a="1"/>
  <c r="BC31" i="4" s="1"/>
  <c r="I31" i="4"/>
  <c r="K31" i="4"/>
  <c r="C31" i="4"/>
  <c r="BS31" i="4"/>
  <c r="A13" i="9"/>
  <c r="A11" i="4"/>
  <c r="D11" i="1"/>
  <c r="C11" i="4"/>
  <c r="D11" i="4"/>
  <c r="BS11" i="4"/>
  <c r="I11" i="4"/>
  <c r="AA38" i="71" s="1"/>
  <c r="M11" i="4"/>
  <c r="AZ11" i="4"/>
  <c r="BU11" i="4" a="1"/>
  <c r="BU11" i="4" s="1"/>
  <c r="A11" i="20"/>
  <c r="K11" i="4"/>
  <c r="BV11" i="4" a="1"/>
  <c r="BV11" i="4" s="1"/>
  <c r="BC11" i="4" a="1"/>
  <c r="BC11" i="4" s="1"/>
  <c r="A66" i="20"/>
  <c r="C66" i="4"/>
  <c r="A68" i="9"/>
  <c r="D66" i="1"/>
  <c r="BU66" i="4" a="1"/>
  <c r="BU66" i="4" s="1"/>
  <c r="BV66" i="4" a="1"/>
  <c r="BV66" i="4" s="1"/>
  <c r="D66" i="4"/>
  <c r="BC66" i="4" a="1"/>
  <c r="BC66" i="4" s="1"/>
  <c r="D22" i="1"/>
  <c r="BC22" i="4" a="1"/>
  <c r="BC22" i="4" s="1"/>
  <c r="K22" i="4"/>
  <c r="BV22" i="4" a="1"/>
  <c r="BV22" i="4" s="1"/>
  <c r="A24" i="9"/>
  <c r="BU22" i="4" a="1"/>
  <c r="BU22" i="4" s="1"/>
  <c r="A22" i="4"/>
  <c r="M22" i="4"/>
  <c r="A22" i="20"/>
  <c r="BS22" i="4"/>
  <c r="I22" i="4"/>
  <c r="BG15" i="71" s="1"/>
  <c r="C22" i="4"/>
  <c r="D22" i="4"/>
  <c r="AZ22" i="4"/>
  <c r="AX70" i="13"/>
  <c r="AX570" i="13"/>
  <c r="A869" i="13"/>
  <c r="AX869" i="13" s="1"/>
  <c r="AX470" i="13"/>
  <c r="A170" i="13"/>
  <c r="A1067" i="13"/>
  <c r="A968" i="13"/>
  <c r="AX968" i="13" s="1"/>
  <c r="A670" i="13"/>
  <c r="A570" i="13"/>
  <c r="A1166" i="13"/>
  <c r="AX670" i="13"/>
  <c r="A769" i="13"/>
  <c r="AX769" i="13" s="1"/>
  <c r="AX1067" i="13"/>
  <c r="A470" i="13"/>
  <c r="I28" i="4"/>
  <c r="AZ28" i="4"/>
  <c r="A28" i="20"/>
  <c r="K28" i="4"/>
  <c r="A28" i="4"/>
  <c r="M28" i="4"/>
  <c r="D28" i="4"/>
  <c r="BS28" i="4"/>
  <c r="A30" i="9"/>
  <c r="BC28" i="4" a="1"/>
  <c r="BC28" i="4" s="1"/>
  <c r="BV28" i="4" a="1"/>
  <c r="BV28" i="4" s="1"/>
  <c r="C28" i="4"/>
  <c r="BU28" i="4" a="1"/>
  <c r="BU28" i="4" s="1"/>
  <c r="D28" i="1"/>
  <c r="A52" i="20"/>
  <c r="K52" i="4"/>
  <c r="BS52" i="4"/>
  <c r="D52" i="1"/>
  <c r="BV52" i="4" a="1"/>
  <c r="BV52" i="4" s="1"/>
  <c r="AZ52" i="4"/>
  <c r="M52" i="4"/>
  <c r="BU52" i="4" a="1"/>
  <c r="BU52" i="4" s="1"/>
  <c r="D52" i="4"/>
  <c r="A54" i="9"/>
  <c r="BC52" i="4" a="1"/>
  <c r="BC52" i="4" s="1"/>
  <c r="C52" i="4"/>
  <c r="A52" i="4"/>
  <c r="I52" i="4"/>
  <c r="A72" i="20"/>
  <c r="BU72" i="4" a="1"/>
  <c r="BU72" i="4" s="1"/>
  <c r="D72" i="1"/>
  <c r="BV72" i="4" a="1"/>
  <c r="BV72" i="4" s="1"/>
  <c r="D72" i="4"/>
  <c r="BC72" i="4" a="1"/>
  <c r="BC72" i="4" s="1"/>
  <c r="A74" i="9"/>
  <c r="C72" i="4"/>
  <c r="A69" i="9"/>
  <c r="C67" i="4"/>
  <c r="BC67" i="4" a="1"/>
  <c r="BC67" i="4" s="1"/>
  <c r="D67" i="4"/>
  <c r="A67" i="20"/>
  <c r="BU67" i="4" a="1"/>
  <c r="BU67" i="4" s="1"/>
  <c r="BV67" i="4" a="1"/>
  <c r="BV67" i="4" s="1"/>
  <c r="D67" i="1"/>
  <c r="A872" i="13"/>
  <c r="AX872" i="13" s="1"/>
  <c r="AX473" i="13"/>
  <c r="A772" i="13"/>
  <c r="AX772" i="13" s="1"/>
  <c r="A473" i="13"/>
  <c r="A1070" i="13"/>
  <c r="A173" i="13"/>
  <c r="AX1070" i="13"/>
  <c r="AX73" i="13"/>
  <c r="A1169" i="13"/>
  <c r="A673" i="13"/>
  <c r="AX673" i="13"/>
  <c r="A971" i="13"/>
  <c r="AX971" i="13" s="1"/>
  <c r="A573" i="13"/>
  <c r="AX573" i="13"/>
  <c r="D90" i="4"/>
  <c r="BU90" i="4" a="1"/>
  <c r="BU90" i="4" s="1"/>
  <c r="C90" i="4"/>
  <c r="A92" i="9"/>
  <c r="BC90" i="4" a="1"/>
  <c r="BC90" i="4" s="1"/>
  <c r="D90" i="1"/>
  <c r="A90" i="20"/>
  <c r="BV90" i="4" a="1"/>
  <c r="BV90" i="4" s="1"/>
  <c r="A83" i="9"/>
  <c r="BC81" i="4" a="1"/>
  <c r="BC81" i="4" s="1"/>
  <c r="BV81" i="4" a="1"/>
  <c r="BV81" i="4" s="1"/>
  <c r="C81" i="4"/>
  <c r="D81" i="4"/>
  <c r="D81" i="1"/>
  <c r="BU81" i="4" a="1"/>
  <c r="BU81" i="4" s="1"/>
  <c r="A81" i="20"/>
  <c r="A1023" i="13"/>
  <c r="A825" i="13"/>
  <c r="AX825" i="13" s="1"/>
  <c r="AX1023" i="13"/>
  <c r="AX526" i="13"/>
  <c r="A526" i="13"/>
  <c r="A626" i="13"/>
  <c r="A725" i="13"/>
  <c r="AX725" i="13" s="1"/>
  <c r="AX626" i="13"/>
  <c r="A1122" i="13"/>
  <c r="A126" i="13"/>
  <c r="A426" i="13"/>
  <c r="A924" i="13"/>
  <c r="AX924" i="13" s="1"/>
  <c r="AX26" i="13"/>
  <c r="AX426" i="13"/>
  <c r="D69" i="4"/>
  <c r="A69" i="20"/>
  <c r="BV69" i="4" a="1"/>
  <c r="BV69" i="4" s="1"/>
  <c r="A71" i="9"/>
  <c r="D69" i="1"/>
  <c r="BU69" i="4" a="1"/>
  <c r="BU69" i="4" s="1"/>
  <c r="C69" i="4"/>
  <c r="BC69" i="4" a="1"/>
  <c r="BC69" i="4" s="1"/>
  <c r="A450" i="13"/>
  <c r="AX50" i="13"/>
  <c r="AX650" i="13"/>
  <c r="A650" i="13"/>
  <c r="A150" i="13"/>
  <c r="AX450" i="13"/>
  <c r="A948" i="13"/>
  <c r="AX948" i="13" s="1"/>
  <c r="A849" i="13"/>
  <c r="AX849" i="13" s="1"/>
  <c r="A1146" i="13"/>
  <c r="A1047" i="13"/>
  <c r="A550" i="13"/>
  <c r="AX1047" i="13"/>
  <c r="AX550" i="13"/>
  <c r="A749" i="13"/>
  <c r="AX749" i="13" s="1"/>
  <c r="AX433" i="13"/>
  <c r="AX33" i="13"/>
  <c r="A1030" i="13"/>
  <c r="AX1030" i="13"/>
  <c r="AX533" i="13"/>
  <c r="A133" i="13"/>
  <c r="A732" i="13"/>
  <c r="AX732" i="13" s="1"/>
  <c r="AX633" i="13"/>
  <c r="A433" i="13"/>
  <c r="A533" i="13"/>
  <c r="A1129" i="13"/>
  <c r="A633" i="13"/>
  <c r="A832" i="13"/>
  <c r="AX832" i="13" s="1"/>
  <c r="A931" i="13"/>
  <c r="AX931" i="13" s="1"/>
  <c r="A113" i="13"/>
  <c r="A1010" i="13"/>
  <c r="AX513" i="13"/>
  <c r="A911" i="13"/>
  <c r="AX911" i="13" s="1"/>
  <c r="A812" i="13"/>
  <c r="AX812" i="13" s="1"/>
  <c r="A413" i="13"/>
  <c r="AX613" i="13"/>
  <c r="AX413" i="13"/>
  <c r="A1109" i="13"/>
  <c r="AX1010" i="13"/>
  <c r="A513" i="13"/>
  <c r="A613" i="13"/>
  <c r="A712" i="13"/>
  <c r="AX712" i="13" s="1"/>
  <c r="AX13" i="13"/>
  <c r="AX691" i="13"/>
  <c r="A1187" i="13"/>
  <c r="A491" i="13"/>
  <c r="AX91" i="13"/>
  <c r="AX591" i="13"/>
  <c r="A691" i="13"/>
  <c r="AX491" i="13"/>
  <c r="AX1088" i="13"/>
  <c r="A790" i="13"/>
  <c r="AX790" i="13" s="1"/>
  <c r="A890" i="13"/>
  <c r="AX890" i="13" s="1"/>
  <c r="A191" i="13"/>
  <c r="A989" i="13"/>
  <c r="AX989" i="13" s="1"/>
  <c r="A1088" i="13"/>
  <c r="A591" i="13"/>
  <c r="AZ36" i="4"/>
  <c r="I36" i="4"/>
  <c r="M36" i="4"/>
  <c r="K36" i="4"/>
  <c r="A38" i="9"/>
  <c r="BC36" i="4" a="1"/>
  <c r="BC36" i="4" s="1"/>
  <c r="D36" i="1"/>
  <c r="C36" i="4"/>
  <c r="BU36" i="4" a="1"/>
  <c r="BU36" i="4" s="1"/>
  <c r="D36" i="4"/>
  <c r="BS36" i="4"/>
  <c r="A36" i="20"/>
  <c r="BV36" i="4" a="1"/>
  <c r="BV36" i="4" s="1"/>
  <c r="A36" i="4"/>
  <c r="A38" i="4"/>
  <c r="A40" i="9"/>
  <c r="BS38" i="4"/>
  <c r="BV38" i="4" a="1"/>
  <c r="BV38" i="4" s="1"/>
  <c r="BC38" i="4" a="1"/>
  <c r="BC38" i="4" s="1"/>
  <c r="D38" i="1"/>
  <c r="C38" i="4"/>
  <c r="I38" i="4"/>
  <c r="M38" i="4"/>
  <c r="A38" i="20"/>
  <c r="AZ38" i="4"/>
  <c r="D38" i="4"/>
  <c r="K38" i="4"/>
  <c r="BU38" i="4" a="1"/>
  <c r="BU38" i="4" s="1"/>
  <c r="A668" i="13"/>
  <c r="AX1065" i="13"/>
  <c r="AX668" i="13"/>
  <c r="A767" i="13"/>
  <c r="AX767" i="13" s="1"/>
  <c r="A468" i="13"/>
  <c r="A568" i="13"/>
  <c r="A1065" i="13"/>
  <c r="A168" i="13"/>
  <c r="A966" i="13"/>
  <c r="AX966" i="13" s="1"/>
  <c r="AX68" i="13"/>
  <c r="AX568" i="13"/>
  <c r="A867" i="13"/>
  <c r="AX867" i="13" s="1"/>
  <c r="A1164" i="13"/>
  <c r="AX468" i="13"/>
  <c r="AX659" i="13"/>
  <c r="A459" i="13"/>
  <c r="A159" i="13"/>
  <c r="AX459" i="13"/>
  <c r="A559" i="13"/>
  <c r="A758" i="13"/>
  <c r="AX758" i="13" s="1"/>
  <c r="A957" i="13"/>
  <c r="AX957" i="13" s="1"/>
  <c r="A858" i="13"/>
  <c r="AX858" i="13" s="1"/>
  <c r="AX559" i="13"/>
  <c r="A1056" i="13"/>
  <c r="A659" i="13"/>
  <c r="AX1056" i="13"/>
  <c r="A1155" i="13"/>
  <c r="AX59" i="13"/>
  <c r="AS4" i="4"/>
  <c r="AV606" i="13" s="1"/>
  <c r="DB4" i="4"/>
  <c r="AX4" i="4"/>
  <c r="CU4" i="4"/>
  <c r="CV4" i="4" s="1"/>
  <c r="E28" i="71"/>
  <c r="E23" i="71"/>
  <c r="E35" i="71"/>
  <c r="E9" i="71"/>
  <c r="E26" i="71"/>
  <c r="F38" i="71"/>
  <c r="E18" i="71"/>
  <c r="E22" i="71"/>
  <c r="E19" i="71"/>
  <c r="E13" i="71"/>
  <c r="E12" i="71"/>
  <c r="E8" i="71"/>
  <c r="E33" i="71"/>
  <c r="E31" i="71"/>
  <c r="E30" i="71"/>
  <c r="E34" i="71"/>
  <c r="E17" i="71"/>
  <c r="E4" i="71"/>
  <c r="E11" i="71"/>
  <c r="E16" i="71"/>
  <c r="E32" i="71"/>
  <c r="E14" i="71"/>
  <c r="E27" i="71"/>
  <c r="E20" i="71"/>
  <c r="E36" i="71"/>
  <c r="E5" i="71"/>
  <c r="E24" i="71"/>
  <c r="E6" i="71"/>
  <c r="E25" i="71"/>
  <c r="E7" i="71"/>
  <c r="E21" i="71"/>
  <c r="E29" i="71"/>
  <c r="E10" i="71"/>
  <c r="E15" i="71"/>
  <c r="C73" i="4"/>
  <c r="BC73" i="4" a="1"/>
  <c r="BC73" i="4" s="1"/>
  <c r="A73" i="20"/>
  <c r="A75" i="9"/>
  <c r="BV73" i="4" a="1"/>
  <c r="BV73" i="4" s="1"/>
  <c r="D73" i="4"/>
  <c r="D73" i="1"/>
  <c r="BU73" i="4" a="1"/>
  <c r="BU73" i="4" s="1"/>
  <c r="AX664" i="13"/>
  <c r="AX1061" i="13"/>
  <c r="A664" i="13"/>
  <c r="AX564" i="13"/>
  <c r="A564" i="13"/>
  <c r="A863" i="13"/>
  <c r="AX863" i="13" s="1"/>
  <c r="A1061" i="13"/>
  <c r="A164" i="13"/>
  <c r="A1160" i="13"/>
  <c r="A962" i="13"/>
  <c r="AX962" i="13" s="1"/>
  <c r="AX464" i="13"/>
  <c r="A464" i="13"/>
  <c r="A763" i="13"/>
  <c r="AX763" i="13" s="1"/>
  <c r="AX64" i="13"/>
  <c r="BU6" i="4" a="1"/>
  <c r="BU6" i="4" s="1"/>
  <c r="BC6" i="4" a="1"/>
  <c r="BC6" i="4" s="1"/>
  <c r="A6" i="4"/>
  <c r="K6" i="4"/>
  <c r="BV6" i="4" a="1"/>
  <c r="BV6" i="4" s="1"/>
  <c r="D6" i="1"/>
  <c r="A8" i="9"/>
  <c r="BS6" i="4"/>
  <c r="A6" i="20"/>
  <c r="D6" i="4"/>
  <c r="M6" i="4"/>
  <c r="AZ6" i="4"/>
  <c r="I6" i="4"/>
  <c r="C6" i="4"/>
  <c r="H23" i="4"/>
  <c r="A25" i="13"/>
  <c r="A669" i="13"/>
  <c r="AX1066" i="13"/>
  <c r="AX569" i="13"/>
  <c r="A469" i="13"/>
  <c r="AX69" i="13"/>
  <c r="A768" i="13"/>
  <c r="AX768" i="13" s="1"/>
  <c r="A868" i="13"/>
  <c r="AX868" i="13" s="1"/>
  <c r="A169" i="13"/>
  <c r="A967" i="13"/>
  <c r="AX967" i="13" s="1"/>
  <c r="AX469" i="13"/>
  <c r="A1165" i="13"/>
  <c r="AX669" i="13"/>
  <c r="A1066" i="13"/>
  <c r="A569" i="13"/>
  <c r="A1028" i="13"/>
  <c r="AX31" i="13"/>
  <c r="A730" i="13"/>
  <c r="AX730" i="13" s="1"/>
  <c r="AX531" i="13"/>
  <c r="A830" i="13"/>
  <c r="AX830" i="13" s="1"/>
  <c r="A531" i="13"/>
  <c r="A1127" i="13"/>
  <c r="A631" i="13"/>
  <c r="A431" i="13"/>
  <c r="AX431" i="13"/>
  <c r="A131" i="13"/>
  <c r="AX1028" i="13"/>
  <c r="AX631" i="13"/>
  <c r="A929" i="13"/>
  <c r="AX929" i="13" s="1"/>
  <c r="A21" i="20"/>
  <c r="K21" i="4"/>
  <c r="C21" i="4"/>
  <c r="BU21" i="4" a="1"/>
  <c r="BU21" i="4" s="1"/>
  <c r="D21" i="4"/>
  <c r="A23" i="9"/>
  <c r="A21" i="4"/>
  <c r="BS21" i="4"/>
  <c r="D21" i="1"/>
  <c r="BV21" i="4" a="1"/>
  <c r="BV21" i="4" s="1"/>
  <c r="I21" i="4"/>
  <c r="BD4" i="71" s="1"/>
  <c r="BC21" i="4" a="1"/>
  <c r="BC21" i="4" s="1"/>
  <c r="AZ21" i="4"/>
  <c r="M21" i="4"/>
  <c r="A89" i="20"/>
  <c r="A91" i="9"/>
  <c r="D89" i="1"/>
  <c r="BC89" i="4" a="1"/>
  <c r="BC89" i="4" s="1"/>
  <c r="C89" i="4"/>
  <c r="D89" i="4"/>
  <c r="BV89" i="4" a="1"/>
  <c r="BV89" i="4" s="1"/>
  <c r="BU89" i="4" a="1"/>
  <c r="BU89" i="4" s="1"/>
  <c r="A936" i="13"/>
  <c r="AX936" i="13" s="1"/>
  <c r="A438" i="13"/>
  <c r="AX1035" i="13"/>
  <c r="AX438" i="13"/>
  <c r="AX638" i="13"/>
  <c r="AX538" i="13"/>
  <c r="A1134" i="13"/>
  <c r="A638" i="13"/>
  <c r="A837" i="13"/>
  <c r="AX837" i="13" s="1"/>
  <c r="A538" i="13"/>
  <c r="AX38" i="13"/>
  <c r="A1035" i="13"/>
  <c r="A138" i="13"/>
  <c r="A737" i="13"/>
  <c r="AX737" i="13" s="1"/>
  <c r="A1037" i="13"/>
  <c r="AX1037" i="13"/>
  <c r="A938" i="13"/>
  <c r="AX938" i="13" s="1"/>
  <c r="A540" i="13"/>
  <c r="AX540" i="13"/>
  <c r="A839" i="13"/>
  <c r="AX839" i="13" s="1"/>
  <c r="A739" i="13"/>
  <c r="AX739" i="13" s="1"/>
  <c r="A640" i="13"/>
  <c r="AX440" i="13"/>
  <c r="A1136" i="13"/>
  <c r="AX40" i="13"/>
  <c r="A440" i="13"/>
  <c r="A140" i="13"/>
  <c r="AX640" i="13"/>
  <c r="AZ7" i="4"/>
  <c r="BC7" i="4" a="1"/>
  <c r="BC7" i="4" s="1"/>
  <c r="BV7" i="4" a="1"/>
  <c r="BV7" i="4" s="1"/>
  <c r="K7" i="4"/>
  <c r="BU7" i="4" a="1"/>
  <c r="BU7" i="4" s="1"/>
  <c r="D7" i="1"/>
  <c r="A7" i="20"/>
  <c r="A9" i="9"/>
  <c r="I7" i="4"/>
  <c r="N24" i="71" s="1"/>
  <c r="BS7" i="4"/>
  <c r="M7" i="4"/>
  <c r="D7" i="4"/>
  <c r="C7" i="4"/>
  <c r="A7" i="4"/>
  <c r="S89" i="22"/>
  <c r="A57" i="20"/>
  <c r="D57" i="4"/>
  <c r="D57" i="1"/>
  <c r="BC57" i="4" a="1"/>
  <c r="BC57" i="4" s="1"/>
  <c r="C57" i="4"/>
  <c r="BU57" i="4" a="1"/>
  <c r="BU57" i="4" s="1"/>
  <c r="BV57" i="4" a="1"/>
  <c r="BV57" i="4" s="1"/>
  <c r="A59" i="9"/>
  <c r="A575" i="13"/>
  <c r="A475" i="13"/>
  <c r="A1171" i="13"/>
  <c r="AX475" i="13"/>
  <c r="AX75" i="13"/>
  <c r="A973" i="13"/>
  <c r="AX973" i="13" s="1"/>
  <c r="AX1072" i="13"/>
  <c r="A175" i="13"/>
  <c r="A675" i="13"/>
  <c r="AX575" i="13"/>
  <c r="A774" i="13"/>
  <c r="AX774" i="13" s="1"/>
  <c r="A1072" i="13"/>
  <c r="AX675" i="13"/>
  <c r="A874" i="13"/>
  <c r="AX874" i="13" s="1"/>
  <c r="C62" i="4"/>
  <c r="S94" i="22"/>
  <c r="D62" i="1"/>
  <c r="BU62" i="4" a="1"/>
  <c r="BU62" i="4" s="1"/>
  <c r="A64" i="9"/>
  <c r="BC62" i="4" a="1"/>
  <c r="BC62" i="4" s="1"/>
  <c r="A62" i="20"/>
  <c r="D62" i="4"/>
  <c r="BV62" i="4" a="1"/>
  <c r="BV62" i="4" s="1"/>
  <c r="A1005" i="13"/>
  <c r="A508" i="13"/>
  <c r="AX408" i="13"/>
  <c r="AX608" i="13"/>
  <c r="A807" i="13"/>
  <c r="AX807" i="13" s="1"/>
  <c r="AX8" i="13"/>
  <c r="A108" i="13"/>
  <c r="AX508" i="13"/>
  <c r="A906" i="13"/>
  <c r="AX906" i="13" s="1"/>
  <c r="A707" i="13"/>
  <c r="AX707" i="13" s="1"/>
  <c r="A608" i="13"/>
  <c r="AX1005" i="13"/>
  <c r="A408" i="13"/>
  <c r="A1104" i="13"/>
  <c r="BU59" i="4" a="1"/>
  <c r="BU59" i="4" s="1"/>
  <c r="D59" i="4"/>
  <c r="D59" i="1"/>
  <c r="BC59" i="4" a="1"/>
  <c r="BC59" i="4" s="1"/>
  <c r="A61" i="9"/>
  <c r="S91" i="22"/>
  <c r="BV59" i="4" a="1"/>
  <c r="BV59" i="4" s="1"/>
  <c r="A59" i="20"/>
  <c r="C59" i="4"/>
  <c r="AX10" i="13"/>
  <c r="AX610" i="13"/>
  <c r="AX1007" i="13"/>
  <c r="AX410" i="13"/>
  <c r="A809" i="13"/>
  <c r="AX809" i="13" s="1"/>
  <c r="A410" i="13"/>
  <c r="AX510" i="13"/>
  <c r="A1007" i="13"/>
  <c r="A709" i="13"/>
  <c r="AX709" i="13" s="1"/>
  <c r="A110" i="13"/>
  <c r="A610" i="13"/>
  <c r="A1106" i="13"/>
  <c r="A510" i="13"/>
  <c r="A908" i="13"/>
  <c r="AX908" i="13" s="1"/>
  <c r="AX19" i="13"/>
  <c r="A917" i="13"/>
  <c r="AX917" i="13" s="1"/>
  <c r="A1016" i="13"/>
  <c r="A1115" i="13"/>
  <c r="AX519" i="13"/>
  <c r="A718" i="13"/>
  <c r="AX718" i="13" s="1"/>
  <c r="AX619" i="13"/>
  <c r="A519" i="13"/>
  <c r="AX419" i="13"/>
  <c r="A119" i="13"/>
  <c r="A818" i="13"/>
  <c r="AX818" i="13" s="1"/>
  <c r="A419" i="13"/>
  <c r="AX1016" i="13"/>
  <c r="A619" i="13"/>
  <c r="X4" i="69"/>
  <c r="X4" i="72"/>
  <c r="AX463" i="13"/>
  <c r="A663" i="13"/>
  <c r="A563" i="13"/>
  <c r="AX1060" i="13"/>
  <c r="A961" i="13"/>
  <c r="AX961" i="13" s="1"/>
  <c r="AX563" i="13"/>
  <c r="AX663" i="13"/>
  <c r="AX63" i="13"/>
  <c r="A463" i="13"/>
  <c r="A1159" i="13"/>
  <c r="A762" i="13"/>
  <c r="AX762" i="13" s="1"/>
  <c r="A1060" i="13"/>
  <c r="A862" i="13"/>
  <c r="AX862" i="13" s="1"/>
  <c r="A163" i="13"/>
  <c r="D29" i="4"/>
  <c r="A29" i="20"/>
  <c r="K29" i="4"/>
  <c r="D29" i="1"/>
  <c r="C29" i="4"/>
  <c r="A31" i="9"/>
  <c r="BU29" i="4" a="1"/>
  <c r="BU29" i="4" s="1"/>
  <c r="BV29" i="4" a="1"/>
  <c r="BV29" i="4" s="1"/>
  <c r="M29" i="4"/>
  <c r="AZ29" i="4"/>
  <c r="BC29" i="4" a="1"/>
  <c r="BC29" i="4" s="1"/>
  <c r="I29" i="4"/>
  <c r="BS29" i="4"/>
  <c r="A29" i="4"/>
  <c r="A722" i="13"/>
  <c r="AX722" i="13" s="1"/>
  <c r="A921" i="13"/>
  <c r="AX921" i="13" s="1"/>
  <c r="A822" i="13"/>
  <c r="AX822" i="13" s="1"/>
  <c r="A623" i="13"/>
  <c r="AX623" i="13"/>
  <c r="A523" i="13"/>
  <c r="A423" i="13"/>
  <c r="A1119" i="13"/>
  <c r="AX523" i="13"/>
  <c r="A1020" i="13"/>
  <c r="AX23" i="13"/>
  <c r="AX1020" i="13"/>
  <c r="A123" i="13"/>
  <c r="AX423" i="13"/>
  <c r="D18" i="4"/>
  <c r="BS18" i="4"/>
  <c r="I18" i="4"/>
  <c r="D18" i="1"/>
  <c r="BV18" i="4" a="1"/>
  <c r="BV18" i="4" s="1"/>
  <c r="C18" i="4"/>
  <c r="BU18" i="4" a="1"/>
  <c r="BU18" i="4" s="1"/>
  <c r="K18" i="4"/>
  <c r="BC18" i="4" a="1"/>
  <c r="BC18" i="4" s="1"/>
  <c r="AZ18" i="4"/>
  <c r="M18" i="4"/>
  <c r="A18" i="20"/>
  <c r="A18" i="4"/>
  <c r="A20" i="9"/>
  <c r="A808" i="13"/>
  <c r="AX808" i="13" s="1"/>
  <c r="A1006" i="13"/>
  <c r="A1105" i="13"/>
  <c r="A109" i="13"/>
  <c r="A409" i="13"/>
  <c r="AX1006" i="13"/>
  <c r="A609" i="13"/>
  <c r="A907" i="13"/>
  <c r="AX907" i="13" s="1"/>
  <c r="AX9" i="13"/>
  <c r="AX509" i="13"/>
  <c r="AX609" i="13"/>
  <c r="AX409" i="13"/>
  <c r="A708" i="13"/>
  <c r="AX708" i="13" s="1"/>
  <c r="A509" i="13"/>
  <c r="AX590" i="13"/>
  <c r="AX690" i="13"/>
  <c r="AX1087" i="13"/>
  <c r="A889" i="13"/>
  <c r="AX889" i="13" s="1"/>
  <c r="A690" i="13"/>
  <c r="A1087" i="13"/>
  <c r="A988" i="13"/>
  <c r="AX988" i="13" s="1"/>
  <c r="A490" i="13"/>
  <c r="A789" i="13"/>
  <c r="AX789" i="13" s="1"/>
  <c r="AX490" i="13"/>
  <c r="AX90" i="13"/>
  <c r="A590" i="13"/>
  <c r="A1186" i="13"/>
  <c r="A190" i="13"/>
  <c r="A442" i="13"/>
  <c r="A1138" i="13"/>
  <c r="A940" i="13"/>
  <c r="AX940" i="13" s="1"/>
  <c r="AX42" i="13"/>
  <c r="A642" i="13"/>
  <c r="AX442" i="13"/>
  <c r="A142" i="13"/>
  <c r="A542" i="13"/>
  <c r="AX1039" i="13"/>
  <c r="A741" i="13"/>
  <c r="AX741" i="13" s="1"/>
  <c r="AX642" i="13"/>
  <c r="A1039" i="13"/>
  <c r="A841" i="13"/>
  <c r="AX841" i="13" s="1"/>
  <c r="AX542" i="13"/>
  <c r="D15" i="1"/>
  <c r="I15" i="4"/>
  <c r="K15" i="4"/>
  <c r="D15" i="4"/>
  <c r="BC15" i="4" a="1"/>
  <c r="BC15" i="4" s="1"/>
  <c r="BS15" i="4"/>
  <c r="BU15" i="4" a="1"/>
  <c r="BU15" i="4" s="1"/>
  <c r="C15" i="4"/>
  <c r="A15" i="20"/>
  <c r="A15" i="4"/>
  <c r="AZ15" i="4"/>
  <c r="BV15" i="4" a="1"/>
  <c r="BV15" i="4" s="1"/>
  <c r="A17" i="9"/>
  <c r="M15" i="4"/>
  <c r="A1077" i="13"/>
  <c r="A680" i="13"/>
  <c r="AX680" i="13"/>
  <c r="AX80" i="13"/>
  <c r="A779" i="13"/>
  <c r="AX779" i="13" s="1"/>
  <c r="AX580" i="13"/>
  <c r="A978" i="13"/>
  <c r="AX978" i="13" s="1"/>
  <c r="A180" i="13"/>
  <c r="AX480" i="13"/>
  <c r="A879" i="13"/>
  <c r="AX879" i="13" s="1"/>
  <c r="A480" i="13"/>
  <c r="A1176" i="13"/>
  <c r="AX1077" i="13"/>
  <c r="A580" i="13"/>
  <c r="A561" i="13"/>
  <c r="A1058" i="13"/>
  <c r="A461" i="13"/>
  <c r="AX61" i="13"/>
  <c r="A661" i="13"/>
  <c r="AX1058" i="13"/>
  <c r="A959" i="13"/>
  <c r="AX959" i="13" s="1"/>
  <c r="A161" i="13"/>
  <c r="AX461" i="13"/>
  <c r="A860" i="13"/>
  <c r="AX860" i="13" s="1"/>
  <c r="AX561" i="13"/>
  <c r="A760" i="13"/>
  <c r="AX760" i="13" s="1"/>
  <c r="A1157" i="13"/>
  <c r="AX661" i="13"/>
  <c r="K8" i="4"/>
  <c r="A10" i="9"/>
  <c r="A8" i="4"/>
  <c r="C8" i="4"/>
  <c r="M8" i="4"/>
  <c r="BU8" i="4" a="1"/>
  <c r="BU8" i="4" s="1"/>
  <c r="I8" i="4"/>
  <c r="Q28" i="71" s="1"/>
  <c r="D8" i="4"/>
  <c r="BV8" i="4" a="1"/>
  <c r="BV8" i="4" s="1"/>
  <c r="BC8" i="4" a="1"/>
  <c r="BC8" i="4" s="1"/>
  <c r="AZ8" i="4"/>
  <c r="BS8" i="4"/>
  <c r="A8" i="20"/>
  <c r="D8" i="1"/>
  <c r="K17" i="4"/>
  <c r="D17" i="4"/>
  <c r="A17" i="4"/>
  <c r="A17" i="20"/>
  <c r="BS17" i="4"/>
  <c r="AZ17" i="4"/>
  <c r="A19" i="9"/>
  <c r="D17" i="1"/>
  <c r="I17" i="4"/>
  <c r="AR35" i="71" s="1"/>
  <c r="BU17" i="4" a="1"/>
  <c r="BU17" i="4" s="1"/>
  <c r="C17" i="4"/>
  <c r="M17" i="4"/>
  <c r="BC17" i="4" a="1"/>
  <c r="BC17" i="4" s="1"/>
  <c r="BV17" i="4" a="1"/>
  <c r="BV17" i="4" s="1"/>
  <c r="A62" i="13"/>
  <c r="H60" i="4"/>
  <c r="D61" i="1"/>
  <c r="BV61" i="4" a="1"/>
  <c r="BV61" i="4" s="1"/>
  <c r="S93" i="22"/>
  <c r="C61" i="4"/>
  <c r="D61" i="4"/>
  <c r="A63" i="9"/>
  <c r="BU61" i="4" a="1"/>
  <c r="BU61" i="4" s="1"/>
  <c r="BC61" i="4" a="1"/>
  <c r="BC61" i="4" s="1"/>
  <c r="A61" i="20"/>
  <c r="AX629" i="13"/>
  <c r="A927" i="13"/>
  <c r="AX927" i="13" s="1"/>
  <c r="AX1026" i="13"/>
  <c r="A629" i="13"/>
  <c r="A1026" i="13"/>
  <c r="AX529" i="13"/>
  <c r="AX29" i="13"/>
  <c r="A728" i="13"/>
  <c r="AX728" i="13" s="1"/>
  <c r="A828" i="13"/>
  <c r="AX828" i="13" s="1"/>
  <c r="A129" i="13"/>
  <c r="A529" i="13"/>
  <c r="A429" i="13"/>
  <c r="A1125" i="13"/>
  <c r="AX429" i="13"/>
  <c r="AX79" i="13"/>
  <c r="A1076" i="13"/>
  <c r="A179" i="13"/>
  <c r="A1175" i="13"/>
  <c r="A679" i="13"/>
  <c r="A878" i="13"/>
  <c r="AX878" i="13" s="1"/>
  <c r="A778" i="13"/>
  <c r="AX778" i="13" s="1"/>
  <c r="AX1076" i="13"/>
  <c r="A479" i="13"/>
  <c r="AX679" i="13"/>
  <c r="A977" i="13"/>
  <c r="AX977" i="13" s="1"/>
  <c r="AX479" i="13"/>
  <c r="AX579" i="13"/>
  <c r="A579" i="13"/>
  <c r="S96" i="22"/>
  <c r="D64" i="4"/>
  <c r="D64" i="1"/>
  <c r="BV64" i="4" a="1"/>
  <c r="BV64" i="4" s="1"/>
  <c r="A66" i="9"/>
  <c r="A64" i="20"/>
  <c r="BC64" i="4" a="1"/>
  <c r="BC64" i="4" s="1"/>
  <c r="C64" i="4"/>
  <c r="BU64" i="4" a="1"/>
  <c r="BU64" i="4" s="1"/>
  <c r="K45" i="4"/>
  <c r="I45" i="4"/>
  <c r="A45" i="20"/>
  <c r="C45" i="4"/>
  <c r="BS45" i="4"/>
  <c r="A45" i="4"/>
  <c r="A47" i="9"/>
  <c r="AZ45" i="4"/>
  <c r="BU45" i="4" a="1"/>
  <c r="BU45" i="4" s="1"/>
  <c r="D45" i="1"/>
  <c r="D45" i="4"/>
  <c r="BC45" i="4" a="1"/>
  <c r="BC45" i="4" s="1"/>
  <c r="BV45" i="4" a="1"/>
  <c r="BV45" i="4" s="1"/>
  <c r="M45" i="4"/>
  <c r="BU37" i="4" a="1"/>
  <c r="BU37" i="4" s="1"/>
  <c r="BS37" i="4"/>
  <c r="AZ37" i="4"/>
  <c r="D37" i="4"/>
  <c r="M37" i="4"/>
  <c r="A37" i="20"/>
  <c r="D37" i="1"/>
  <c r="BC37" i="4" a="1"/>
  <c r="BC37" i="4" s="1"/>
  <c r="K37" i="4"/>
  <c r="A39" i="9"/>
  <c r="I37" i="4"/>
  <c r="BV37" i="4" a="1"/>
  <c r="BV37" i="4" s="1"/>
  <c r="A37" i="4"/>
  <c r="C37" i="4"/>
  <c r="A817" i="13"/>
  <c r="AX817" i="13" s="1"/>
  <c r="AX418" i="13"/>
  <c r="A916" i="13"/>
  <c r="AX916" i="13" s="1"/>
  <c r="A717" i="13"/>
  <c r="AX717" i="13" s="1"/>
  <c r="AX618" i="13"/>
  <c r="A1114" i="13"/>
  <c r="AX1015" i="13"/>
  <c r="A518" i="13"/>
  <c r="A118" i="13"/>
  <c r="AX518" i="13"/>
  <c r="A418" i="13"/>
  <c r="A1015" i="13"/>
  <c r="AX18" i="13"/>
  <c r="A618" i="13"/>
  <c r="C76" i="4"/>
  <c r="BC76" i="4" a="1"/>
  <c r="BC76" i="4" s="1"/>
  <c r="D76" i="1"/>
  <c r="BU76" i="4" a="1"/>
  <c r="BU76" i="4" s="1"/>
  <c r="A76" i="20"/>
  <c r="BV76" i="4" a="1"/>
  <c r="BV76" i="4" s="1"/>
  <c r="A78" i="9"/>
  <c r="D76" i="4"/>
  <c r="AX1017" i="13"/>
  <c r="AX620" i="13"/>
  <c r="A1116" i="13"/>
  <c r="AX520" i="13"/>
  <c r="A620" i="13"/>
  <c r="A420" i="13"/>
  <c r="A120" i="13"/>
  <c r="A918" i="13"/>
  <c r="AX918" i="13" s="1"/>
  <c r="A520" i="13"/>
  <c r="A719" i="13"/>
  <c r="AX719" i="13" s="1"/>
  <c r="AX20" i="13"/>
  <c r="A1017" i="13"/>
  <c r="AX420" i="13"/>
  <c r="A819" i="13"/>
  <c r="AX819" i="13" s="1"/>
  <c r="AS10" i="4"/>
  <c r="AV612" i="13" s="1"/>
  <c r="A93" i="9"/>
  <c r="D91" i="4"/>
  <c r="BU91" i="4" a="1"/>
  <c r="BU91" i="4" s="1"/>
  <c r="C91" i="4"/>
  <c r="D91" i="1"/>
  <c r="BV91" i="4" a="1"/>
  <c r="BV91" i="4" s="1"/>
  <c r="A91" i="20"/>
  <c r="BC91" i="4" a="1"/>
  <c r="BC91" i="4" s="1"/>
  <c r="A1111" i="13"/>
  <c r="A515" i="13"/>
  <c r="AX615" i="13"/>
  <c r="A415" i="13"/>
  <c r="AX515" i="13"/>
  <c r="AX1012" i="13"/>
  <c r="A115" i="13"/>
  <c r="A714" i="13"/>
  <c r="AX714" i="13" s="1"/>
  <c r="A1012" i="13"/>
  <c r="A615" i="13"/>
  <c r="AX15" i="13"/>
  <c r="AX415" i="13"/>
  <c r="A814" i="13"/>
  <c r="AX814" i="13" s="1"/>
  <c r="A913" i="13"/>
  <c r="AX913" i="13" s="1"/>
  <c r="BV88" i="4" a="1"/>
  <c r="BV88" i="4" s="1"/>
  <c r="BU88" i="4" a="1"/>
  <c r="BU88" i="4" s="1"/>
  <c r="D88" i="4"/>
  <c r="C88" i="4"/>
  <c r="A88" i="20"/>
  <c r="D88" i="1"/>
  <c r="BC88" i="4" a="1"/>
  <c r="BC88" i="4" s="1"/>
  <c r="A90" i="9"/>
  <c r="K40" i="4"/>
  <c r="A42" i="9"/>
  <c r="D40" i="4"/>
  <c r="BV40" i="4" a="1"/>
  <c r="BV40" i="4" s="1"/>
  <c r="C40" i="4"/>
  <c r="BU40" i="4" a="1"/>
  <c r="BU40" i="4" s="1"/>
  <c r="A40" i="4"/>
  <c r="A40" i="20"/>
  <c r="I40" i="4"/>
  <c r="BC40" i="4" a="1"/>
  <c r="BC40" i="4" s="1"/>
  <c r="M40" i="4"/>
  <c r="BS40" i="4"/>
  <c r="AZ40" i="4"/>
  <c r="D40" i="1"/>
  <c r="A915" i="13"/>
  <c r="AX915" i="13" s="1"/>
  <c r="A1113" i="13"/>
  <c r="AX617" i="13"/>
  <c r="A716" i="13"/>
  <c r="AX716" i="13" s="1"/>
  <c r="A117" i="13"/>
  <c r="A417" i="13"/>
  <c r="AX1014" i="13"/>
  <c r="A1014" i="13"/>
  <c r="A517" i="13"/>
  <c r="A617" i="13"/>
  <c r="AX517" i="13"/>
  <c r="AX17" i="13"/>
  <c r="A816" i="13"/>
  <c r="AX816" i="13" s="1"/>
  <c r="AX417" i="13"/>
  <c r="AX1201" i="13"/>
  <c r="A1300" i="13"/>
  <c r="A80" i="9"/>
  <c r="D78" i="1"/>
  <c r="D78" i="4"/>
  <c r="A78" i="20"/>
  <c r="C78" i="4"/>
  <c r="BV78" i="4" a="1"/>
  <c r="BV78" i="4" s="1"/>
  <c r="BU78" i="4" a="1"/>
  <c r="BU78" i="4" s="1"/>
  <c r="BC78" i="4" a="1"/>
  <c r="BC78" i="4" s="1"/>
  <c r="AZ54" i="4"/>
  <c r="M54" i="4"/>
  <c r="C54" i="4"/>
  <c r="A54" i="4"/>
  <c r="I54" i="4"/>
  <c r="BS54" i="4"/>
  <c r="K54" i="4"/>
  <c r="BC54" i="4" a="1"/>
  <c r="BC54" i="4" s="1"/>
  <c r="D54" i="4"/>
  <c r="A56" i="9"/>
  <c r="D54" i="1"/>
  <c r="A54" i="20"/>
  <c r="BU54" i="4" a="1"/>
  <c r="BU54" i="4" s="1"/>
  <c r="BV54" i="4" a="1"/>
  <c r="BV54" i="4" s="1"/>
  <c r="A260" i="13"/>
  <c r="AX160" i="13"/>
  <c r="AX676" i="13"/>
  <c r="A974" i="13"/>
  <c r="AX974" i="13" s="1"/>
  <c r="A476" i="13"/>
  <c r="A1073" i="13"/>
  <c r="A1172" i="13"/>
  <c r="A676" i="13"/>
  <c r="AX76" i="13"/>
  <c r="AX576" i="13"/>
  <c r="AX476" i="13"/>
  <c r="A576" i="13"/>
  <c r="A875" i="13"/>
  <c r="AX875" i="13" s="1"/>
  <c r="A176" i="13"/>
  <c r="AX1073" i="13"/>
  <c r="A775" i="13"/>
  <c r="AX775" i="13" s="1"/>
  <c r="B4" i="4"/>
  <c r="BA4" i="4" a="1"/>
  <c r="BA4" i="4" s="1"/>
  <c r="BB4" i="4" s="1"/>
  <c r="AV106" i="13" s="1"/>
  <c r="J510" i="15"/>
  <c r="A1141" i="13"/>
  <c r="A645" i="13"/>
  <c r="AX1042" i="13"/>
  <c r="A1042" i="13"/>
  <c r="AX45" i="13"/>
  <c r="A744" i="13"/>
  <c r="AX744" i="13" s="1"/>
  <c r="AX645" i="13"/>
  <c r="A844" i="13"/>
  <c r="AX844" i="13" s="1"/>
  <c r="A943" i="13"/>
  <c r="AX943" i="13" s="1"/>
  <c r="AX545" i="13"/>
  <c r="A145" i="13"/>
  <c r="A545" i="13"/>
  <c r="AX445" i="13"/>
  <c r="A445" i="13"/>
  <c r="A27" i="4"/>
  <c r="A27" i="20"/>
  <c r="BV27" i="4" a="1"/>
  <c r="BV27" i="4" s="1"/>
  <c r="AZ27" i="4"/>
  <c r="D27" i="1"/>
  <c r="C27" i="4"/>
  <c r="K27" i="4"/>
  <c r="M27" i="4"/>
  <c r="BU27" i="4" a="1"/>
  <c r="BU27" i="4" s="1"/>
  <c r="D27" i="4"/>
  <c r="A29" i="9"/>
  <c r="BC27" i="4" a="1"/>
  <c r="BC27" i="4" s="1"/>
  <c r="I27" i="4"/>
  <c r="BS27" i="4"/>
  <c r="BU77" i="4" a="1"/>
  <c r="BU77" i="4" s="1"/>
  <c r="A77" i="20"/>
  <c r="D77" i="4"/>
  <c r="A79" i="9"/>
  <c r="BV77" i="4" a="1"/>
  <c r="BV77" i="4" s="1"/>
  <c r="BC77" i="4" a="1"/>
  <c r="BC77" i="4" s="1"/>
  <c r="D77" i="1"/>
  <c r="C77" i="4"/>
  <c r="A566" i="13"/>
  <c r="AX566" i="13"/>
  <c r="A1162" i="13"/>
  <c r="A765" i="13"/>
  <c r="AX765" i="13" s="1"/>
  <c r="AX66" i="13"/>
  <c r="AX666" i="13"/>
  <c r="A666" i="13"/>
  <c r="A466" i="13"/>
  <c r="AX466" i="13"/>
  <c r="A964" i="13"/>
  <c r="AX964" i="13" s="1"/>
  <c r="AX1063" i="13"/>
  <c r="A166" i="13"/>
  <c r="A1063" i="13"/>
  <c r="A865" i="13"/>
  <c r="AX865" i="13" s="1"/>
  <c r="A846" i="13"/>
  <c r="AX846" i="13" s="1"/>
  <c r="A147" i="13"/>
  <c r="AX547" i="13"/>
  <c r="A447" i="13"/>
  <c r="A945" i="13"/>
  <c r="AX945" i="13" s="1"/>
  <c r="AX447" i="13"/>
  <c r="AX1044" i="13"/>
  <c r="AX647" i="13"/>
  <c r="A547" i="13"/>
  <c r="A1044" i="13"/>
  <c r="A746" i="13"/>
  <c r="AX746" i="13" s="1"/>
  <c r="AX47" i="13"/>
  <c r="A1143" i="13"/>
  <c r="A647" i="13"/>
  <c r="AX639" i="13"/>
  <c r="A738" i="13"/>
  <c r="AX738" i="13" s="1"/>
  <c r="A838" i="13"/>
  <c r="AX838" i="13" s="1"/>
  <c r="A937" i="13"/>
  <c r="AX937" i="13" s="1"/>
  <c r="A439" i="13"/>
  <c r="A1135" i="13"/>
  <c r="A139" i="13"/>
  <c r="AX439" i="13"/>
  <c r="AX1036" i="13"/>
  <c r="A639" i="13"/>
  <c r="AX39" i="13"/>
  <c r="A1036" i="13"/>
  <c r="A539" i="13"/>
  <c r="AX539" i="13"/>
  <c r="A16" i="4"/>
  <c r="D16" i="1"/>
  <c r="M16" i="4"/>
  <c r="A16" i="20"/>
  <c r="BS16" i="4"/>
  <c r="BV16" i="4" a="1"/>
  <c r="BV16" i="4" s="1"/>
  <c r="AZ16" i="4"/>
  <c r="BC16" i="4" a="1"/>
  <c r="BC16" i="4" s="1"/>
  <c r="A18" i="9"/>
  <c r="BU16" i="4" a="1"/>
  <c r="BU16" i="4" s="1"/>
  <c r="I16" i="4"/>
  <c r="K16" i="4"/>
  <c r="D16" i="4"/>
  <c r="C16" i="4"/>
  <c r="T4" i="4"/>
  <c r="DC4" i="4"/>
  <c r="AV206" i="13"/>
  <c r="A877" i="13"/>
  <c r="AX877" i="13" s="1"/>
  <c r="A578" i="13"/>
  <c r="A478" i="13"/>
  <c r="AX1075" i="13"/>
  <c r="A178" i="13"/>
  <c r="AX78" i="13"/>
  <c r="AX478" i="13"/>
  <c r="AX678" i="13"/>
  <c r="AX578" i="13"/>
  <c r="A1174" i="13"/>
  <c r="A678" i="13"/>
  <c r="A777" i="13"/>
  <c r="AX777" i="13" s="1"/>
  <c r="A1075" i="13"/>
  <c r="A976" i="13"/>
  <c r="AX976" i="13" s="1"/>
  <c r="BV84" i="4" a="1"/>
  <c r="BV84" i="4" s="1"/>
  <c r="D84" i="4"/>
  <c r="A84" i="20"/>
  <c r="A86" i="9"/>
  <c r="BU84" i="4" a="1"/>
  <c r="BU84" i="4" s="1"/>
  <c r="BC84" i="4" a="1"/>
  <c r="BC84" i="4" s="1"/>
  <c r="D84" i="1"/>
  <c r="C84" i="4"/>
  <c r="K17" i="27"/>
  <c r="A193" i="13"/>
  <c r="A593" i="13"/>
  <c r="A792" i="13"/>
  <c r="AX792" i="13" s="1"/>
  <c r="A693" i="13"/>
  <c r="AX593" i="13"/>
  <c r="AX493" i="13"/>
  <c r="A1090" i="13"/>
  <c r="A1189" i="13"/>
  <c r="AX693" i="13"/>
  <c r="A892" i="13"/>
  <c r="AX892" i="13" s="1"/>
  <c r="A991" i="13"/>
  <c r="AX991" i="13" s="1"/>
  <c r="AX1090" i="13"/>
  <c r="A493" i="13"/>
  <c r="AX93" i="13"/>
  <c r="M13" i="4"/>
  <c r="BU13" i="4" a="1"/>
  <c r="BU13" i="4" s="1"/>
  <c r="BV13" i="4" a="1"/>
  <c r="BV13" i="4" s="1"/>
  <c r="A13" i="20"/>
  <c r="BC13" i="4" a="1"/>
  <c r="BC13" i="4" s="1"/>
  <c r="C13" i="4"/>
  <c r="A15" i="9"/>
  <c r="I13" i="4"/>
  <c r="D13" i="1"/>
  <c r="A13" i="4"/>
  <c r="D13" i="4"/>
  <c r="K13" i="4"/>
  <c r="AZ13" i="4"/>
  <c r="BS13" i="4"/>
  <c r="F12" i="5"/>
  <c r="F18" i="5"/>
  <c r="A481" i="13"/>
  <c r="A979" i="13"/>
  <c r="AX979" i="13" s="1"/>
  <c r="AX581" i="13"/>
  <c r="A1177" i="13"/>
  <c r="A181" i="13"/>
  <c r="A681" i="13"/>
  <c r="AX1078" i="13"/>
  <c r="A880" i="13"/>
  <c r="AX880" i="13" s="1"/>
  <c r="AX481" i="13"/>
  <c r="AX81" i="13"/>
  <c r="A780" i="13"/>
  <c r="AX780" i="13" s="1"/>
  <c r="A1078" i="13"/>
  <c r="AX681" i="13"/>
  <c r="A581" i="13"/>
  <c r="I47" i="4"/>
  <c r="D47" i="1"/>
  <c r="A49" i="9"/>
  <c r="M47" i="4"/>
  <c r="A47" i="20"/>
  <c r="BS47" i="4"/>
  <c r="C47" i="4"/>
  <c r="K47" i="4"/>
  <c r="AZ47" i="4"/>
  <c r="A47" i="4"/>
  <c r="BV47" i="4" a="1"/>
  <c r="BV47" i="4" s="1"/>
  <c r="BU47" i="4" a="1"/>
  <c r="BU47" i="4" s="1"/>
  <c r="D47" i="4"/>
  <c r="BC47" i="4" a="1"/>
  <c r="BC47" i="4" s="1"/>
  <c r="A954" i="13"/>
  <c r="AX954" i="13" s="1"/>
  <c r="A456" i="13"/>
  <c r="A1053" i="13"/>
  <c r="A556" i="13"/>
  <c r="A1152" i="13"/>
  <c r="A156" i="13"/>
  <c r="A755" i="13"/>
  <c r="AX755" i="13" s="1"/>
  <c r="AX556" i="13"/>
  <c r="AX456" i="13"/>
  <c r="A855" i="13"/>
  <c r="AX855" i="13" s="1"/>
  <c r="AX56" i="13"/>
  <c r="A656" i="13"/>
  <c r="AX656" i="13"/>
  <c r="AX1053" i="13"/>
  <c r="BW58" i="4"/>
  <c r="D74" i="4"/>
  <c r="BU74" i="4" a="1"/>
  <c r="BU74" i="4" s="1"/>
  <c r="D74" i="1"/>
  <c r="BV74" i="4" a="1"/>
  <c r="BV74" i="4" s="1"/>
  <c r="A74" i="20"/>
  <c r="C74" i="4"/>
  <c r="BC74" i="4" a="1"/>
  <c r="BC74" i="4" s="1"/>
  <c r="A76" i="9"/>
  <c r="BC43" i="4" a="1"/>
  <c r="BC43" i="4" s="1"/>
  <c r="A45" i="9"/>
  <c r="A43" i="20"/>
  <c r="I43" i="4"/>
  <c r="C43" i="4"/>
  <c r="BS43" i="4"/>
  <c r="BU43" i="4" a="1"/>
  <c r="BU43" i="4" s="1"/>
  <c r="AZ43" i="4"/>
  <c r="D43" i="4"/>
  <c r="K43" i="4"/>
  <c r="D43" i="1"/>
  <c r="M43" i="4"/>
  <c r="A43" i="4"/>
  <c r="BV43" i="4" a="1"/>
  <c r="BV43" i="4" s="1"/>
  <c r="C14" i="4"/>
  <c r="A16" i="9"/>
  <c r="D14" i="1"/>
  <c r="BV14" i="4" a="1"/>
  <c r="BV14" i="4" s="1"/>
  <c r="A14" i="20"/>
  <c r="A14" i="4"/>
  <c r="D14" i="4"/>
  <c r="BU14" i="4" a="1"/>
  <c r="BU14" i="4" s="1"/>
  <c r="BS14" i="4"/>
  <c r="AZ14" i="4"/>
  <c r="I14" i="4"/>
  <c r="BC14" i="4" a="1"/>
  <c r="BC14" i="4" s="1"/>
  <c r="K14" i="4"/>
  <c r="M14" i="4"/>
  <c r="AX55" i="13"/>
  <c r="A953" i="13"/>
  <c r="AX953" i="13" s="1"/>
  <c r="A754" i="13"/>
  <c r="AX754" i="13" s="1"/>
  <c r="A854" i="13"/>
  <c r="AX854" i="13" s="1"/>
  <c r="AX655" i="13"/>
  <c r="AX555" i="13"/>
  <c r="A655" i="13"/>
  <c r="A455" i="13"/>
  <c r="A1052" i="13"/>
  <c r="A155" i="13"/>
  <c r="AX1052" i="13"/>
  <c r="A1151" i="13"/>
  <c r="AX455" i="13"/>
  <c r="A555" i="13"/>
  <c r="AX686" i="13"/>
  <c r="A486" i="13"/>
  <c r="A984" i="13"/>
  <c r="AX984" i="13" s="1"/>
  <c r="A885" i="13"/>
  <c r="AX885" i="13" s="1"/>
  <c r="A785" i="13"/>
  <c r="AX785" i="13" s="1"/>
  <c r="A686" i="13"/>
  <c r="A1182" i="13"/>
  <c r="A1083" i="13"/>
  <c r="AX86" i="13"/>
  <c r="AX586" i="13"/>
  <c r="AX1083" i="13"/>
  <c r="A586" i="13"/>
  <c r="AX486" i="13"/>
  <c r="A186" i="13"/>
  <c r="K15" i="27"/>
  <c r="K5" i="27"/>
  <c r="A535" i="13"/>
  <c r="AX435" i="13"/>
  <c r="A933" i="13"/>
  <c r="AX933" i="13" s="1"/>
  <c r="A635" i="13"/>
  <c r="A1131" i="13"/>
  <c r="AX535" i="13"/>
  <c r="A834" i="13"/>
  <c r="AX834" i="13" s="1"/>
  <c r="A135" i="13"/>
  <c r="A435" i="13"/>
  <c r="AX35" i="13"/>
  <c r="A1032" i="13"/>
  <c r="A734" i="13"/>
  <c r="AX734" i="13" s="1"/>
  <c r="AX635" i="13"/>
  <c r="AX1032" i="13"/>
  <c r="A81" i="9"/>
  <c r="BC79" i="4" a="1"/>
  <c r="BC79" i="4" s="1"/>
  <c r="A79" i="20"/>
  <c r="D79" i="4"/>
  <c r="BV79" i="4" a="1"/>
  <c r="BV79" i="4" s="1"/>
  <c r="D79" i="1"/>
  <c r="BU79" i="4" a="1"/>
  <c r="BU79" i="4" s="1"/>
  <c r="C79" i="4"/>
  <c r="A649" i="13"/>
  <c r="AX449" i="13"/>
  <c r="AX49" i="13"/>
  <c r="A549" i="13"/>
  <c r="A848" i="13"/>
  <c r="AX848" i="13" s="1"/>
  <c r="AX649" i="13"/>
  <c r="A1046" i="13"/>
  <c r="AX549" i="13"/>
  <c r="A947" i="13"/>
  <c r="AX947" i="13" s="1"/>
  <c r="A748" i="13"/>
  <c r="AX748" i="13" s="1"/>
  <c r="A1145" i="13"/>
  <c r="AX1046" i="13"/>
  <c r="A449" i="13"/>
  <c r="A149" i="13"/>
  <c r="BA3" i="4" a="1"/>
  <c r="BA3" i="4" s="1"/>
  <c r="BB3" i="4" s="1"/>
  <c r="B3" i="4"/>
  <c r="J566" i="15"/>
  <c r="J578" i="15"/>
  <c r="J486" i="15"/>
  <c r="J507" i="15"/>
  <c r="J638" i="15"/>
  <c r="J603" i="15"/>
  <c r="A3" i="72"/>
  <c r="A3" i="69"/>
  <c r="A182" i="13"/>
  <c r="AX482" i="13"/>
  <c r="AX682" i="13"/>
  <c r="A781" i="13"/>
  <c r="AX781" i="13" s="1"/>
  <c r="A1079" i="13"/>
  <c r="A682" i="13"/>
  <c r="A582" i="13"/>
  <c r="A482" i="13"/>
  <c r="A980" i="13"/>
  <c r="AX980" i="13" s="1"/>
  <c r="AX1079" i="13"/>
  <c r="AX82" i="13"/>
  <c r="A1178" i="13"/>
  <c r="AX582" i="13"/>
  <c r="A881" i="13"/>
  <c r="AX881" i="13" s="1"/>
  <c r="K3" i="27"/>
  <c r="BS75" i="4"/>
  <c r="AI85" i="4" a="1"/>
  <c r="AJ85" i="4" a="1"/>
  <c r="AA39" i="4" a="1"/>
  <c r="AB39" i="4" a="1"/>
  <c r="AN56" i="4" a="1"/>
  <c r="AO56" i="4" a="1"/>
  <c r="AG34" i="4" a="1"/>
  <c r="AF34" i="4" a="1"/>
  <c r="AJ42" i="4" a="1"/>
  <c r="AI42" i="4" a="1"/>
  <c r="AF49" i="4" a="1"/>
  <c r="AG49" i="4" a="1"/>
  <c r="AO19" i="4" a="1"/>
  <c r="AN19" i="4" a="1"/>
  <c r="AA28" i="4" a="1"/>
  <c r="AB28" i="4" a="1"/>
  <c r="AJ52" i="4" a="1"/>
  <c r="AI52" i="4" a="1"/>
  <c r="AF69" i="4" a="1"/>
  <c r="AG69" i="4" a="1"/>
  <c r="AG36" i="4" a="1"/>
  <c r="AF36" i="4" a="1"/>
  <c r="AJ57" i="4" a="1"/>
  <c r="AI57" i="4" a="1"/>
  <c r="AB59" i="4" a="1"/>
  <c r="AA59" i="4" a="1"/>
  <c r="AF8" i="4" a="1"/>
  <c r="AG8" i="4" a="1"/>
  <c r="AO61" i="4" a="1"/>
  <c r="AN61" i="4" a="1"/>
  <c r="AF76" i="4" a="1"/>
  <c r="AG76" i="4" a="1"/>
  <c r="AG88" i="4" a="1"/>
  <c r="AF88" i="4" a="1"/>
  <c r="AI40" i="4" a="1"/>
  <c r="AJ40" i="4" a="1"/>
  <c r="AG78" i="4" a="1"/>
  <c r="AF78" i="4" a="1"/>
  <c r="AJ43" i="4" a="1"/>
  <c r="AI43" i="4" a="1"/>
  <c r="AB85" i="4" a="1"/>
  <c r="AA85" i="4" a="1"/>
  <c r="AO53" i="4" a="1"/>
  <c r="AN53" i="4" a="1"/>
  <c r="AA33" i="4" a="1"/>
  <c r="AB33" i="4" a="1"/>
  <c r="AA30" i="4" a="1"/>
  <c r="AB30" i="4" a="1"/>
  <c r="AG82" i="4" a="1"/>
  <c r="AF82" i="4" a="1"/>
  <c r="AJ65" i="4" a="1"/>
  <c r="AI65" i="4" a="1"/>
  <c r="AI12" i="4" a="1"/>
  <c r="AJ12" i="4" a="1"/>
  <c r="AG56" i="4" a="1"/>
  <c r="AF56" i="4" a="1"/>
  <c r="AB56" i="4" a="1"/>
  <c r="AA56" i="4" a="1"/>
  <c r="AF70" i="4" a="1"/>
  <c r="AG70" i="4" a="1"/>
  <c r="AA92" i="4" a="1"/>
  <c r="AB92" i="4" a="1"/>
  <c r="AG42" i="4" a="1"/>
  <c r="AF42" i="4" a="1"/>
  <c r="AG26" i="4" a="1"/>
  <c r="AF26" i="4" a="1"/>
  <c r="AB51" i="4" a="1"/>
  <c r="AA51" i="4" a="1"/>
  <c r="AF63" i="4" a="1"/>
  <c r="AG63" i="4" a="1"/>
  <c r="AG68" i="4" a="1"/>
  <c r="AF68" i="4" a="1"/>
  <c r="AN68" i="4" a="1"/>
  <c r="AO68" i="4" a="1"/>
  <c r="AO71" i="4" a="1"/>
  <c r="AN71" i="4" a="1"/>
  <c r="AN24" i="4" a="1"/>
  <c r="AO24" i="4" a="1"/>
  <c r="AF31" i="4" a="1"/>
  <c r="AG31" i="4" a="1"/>
  <c r="AB11" i="4" a="1"/>
  <c r="AA11" i="4" a="1"/>
  <c r="AB81" i="4" a="1"/>
  <c r="AA81" i="4" a="1"/>
  <c r="AN69" i="4" a="1"/>
  <c r="AO69" i="4" a="1"/>
  <c r="AO38" i="4" a="1"/>
  <c r="AN38" i="4" a="1"/>
  <c r="AI73" i="4" a="1"/>
  <c r="AJ73" i="4" a="1"/>
  <c r="AI89" i="4" a="1"/>
  <c r="AJ89" i="4" a="1"/>
  <c r="AB57" i="4" a="1"/>
  <c r="AA57" i="4" a="1"/>
  <c r="AJ18" i="4" a="1"/>
  <c r="AI18" i="4" a="1"/>
  <c r="AG18" i="4" a="1"/>
  <c r="AF18" i="4" a="1"/>
  <c r="AB15" i="4" a="1"/>
  <c r="AA15" i="4" a="1"/>
  <c r="AJ61" i="4" a="1"/>
  <c r="AI61" i="4" a="1"/>
  <c r="AN64" i="4" a="1"/>
  <c r="AO64" i="4" a="1"/>
  <c r="AA37" i="4" a="1"/>
  <c r="AB37" i="4" a="1"/>
  <c r="AI77" i="4" a="1"/>
  <c r="AJ77" i="4" a="1"/>
  <c r="AG16" i="4" a="1"/>
  <c r="AF16" i="4" a="1"/>
  <c r="AB13" i="4" a="1"/>
  <c r="AA13" i="4" a="1"/>
  <c r="AF47" i="4" a="1"/>
  <c r="AG47" i="4" a="1"/>
  <c r="AA43" i="4" a="1"/>
  <c r="AB43" i="4" a="1"/>
  <c r="AO14" i="4" a="1"/>
  <c r="AN14" i="4" a="1"/>
  <c r="AN79" i="4" a="1"/>
  <c r="AO79" i="4" a="1"/>
  <c r="B39" i="1" a="1"/>
  <c r="AO82" i="4" a="1"/>
  <c r="AN82" i="4" a="1"/>
  <c r="AN39" i="4" a="1"/>
  <c r="AO39" i="4" a="1"/>
  <c r="AF5" i="4" a="1"/>
  <c r="AG5" i="4" a="1"/>
  <c r="AF12" i="4" a="1"/>
  <c r="AG12" i="4" a="1"/>
  <c r="AA75" i="4" a="1"/>
  <c r="AB75" i="4" a="1"/>
  <c r="AN26" i="4" a="1"/>
  <c r="AO26" i="4" a="1"/>
  <c r="AF93" i="4" a="1"/>
  <c r="AG93" i="4" a="1"/>
  <c r="AB93" i="4" a="1"/>
  <c r="AA93" i="4" a="1"/>
  <c r="AN63" i="4" a="1"/>
  <c r="AO63" i="4" a="1"/>
  <c r="AA19" i="4" a="1"/>
  <c r="AB19" i="4" a="1"/>
  <c r="AF86" i="4" a="1"/>
  <c r="AG86" i="4" a="1"/>
  <c r="AI68" i="4" a="1"/>
  <c r="AJ68" i="4" a="1"/>
  <c r="AI71" i="4" a="1"/>
  <c r="AJ71" i="4" a="1"/>
  <c r="AJ31" i="4" a="1"/>
  <c r="AI31" i="4" a="1"/>
  <c r="AB66" i="4" a="1"/>
  <c r="AA66" i="4" a="1"/>
  <c r="AN22" i="4" a="1"/>
  <c r="AO22" i="4" a="1"/>
  <c r="AO28" i="4" a="1"/>
  <c r="AN28" i="4" a="1"/>
  <c r="AJ90" i="4" a="1"/>
  <c r="AI90" i="4" a="1"/>
  <c r="AA38" i="4" a="1"/>
  <c r="AB38" i="4" a="1"/>
  <c r="AA6" i="4" a="1"/>
  <c r="AB6" i="4" a="1"/>
  <c r="AO89" i="4" a="1"/>
  <c r="AN89" i="4" a="1"/>
  <c r="AF7" i="4" a="1"/>
  <c r="AG7" i="4" a="1"/>
  <c r="AO57" i="4" a="1"/>
  <c r="AN57" i="4" a="1"/>
  <c r="AF62" i="4" a="1"/>
  <c r="AG62" i="4" a="1"/>
  <c r="AG61" i="4" a="1"/>
  <c r="AF61" i="4" a="1"/>
  <c r="AI45" i="4" a="1"/>
  <c r="AJ45" i="4" a="1"/>
  <c r="AA78" i="4" a="1"/>
  <c r="AB78" i="4" a="1"/>
  <c r="AJ27" i="4" a="1"/>
  <c r="AI27" i="4" a="1"/>
  <c r="AF74" i="4" a="1"/>
  <c r="AG74" i="4" a="1"/>
  <c r="AA14" i="4" a="1"/>
  <c r="AB14" i="4" a="1"/>
  <c r="B5" i="1" a="1"/>
  <c r="AJ53" i="4" a="1"/>
  <c r="AI53" i="4" a="1"/>
  <c r="AA53" i="4" a="1"/>
  <c r="AB53" i="4" a="1"/>
  <c r="AO80" i="4" a="1"/>
  <c r="AN80" i="4" a="1"/>
  <c r="AI39" i="4" a="1"/>
  <c r="AJ39" i="4" a="1"/>
  <c r="AI56" i="4" a="1"/>
  <c r="AJ56" i="4" a="1"/>
  <c r="AJ92" i="4" a="1"/>
  <c r="AI92" i="4" a="1"/>
  <c r="AI35" i="4" a="1"/>
  <c r="AJ35" i="4" a="1"/>
  <c r="AA35" i="4" a="1"/>
  <c r="AB35" i="4" a="1"/>
  <c r="AA63" i="4" a="1"/>
  <c r="AB63" i="4" a="1"/>
  <c r="AN49" i="4" a="1"/>
  <c r="AO49" i="4" a="1"/>
  <c r="AO86" i="4" a="1"/>
  <c r="AN86" i="4" a="1"/>
  <c r="AN87" i="4" a="1"/>
  <c r="AO87" i="4" a="1"/>
  <c r="AA24" i="4" a="1"/>
  <c r="AB24" i="4" a="1"/>
  <c r="AG11" i="4" a="1"/>
  <c r="AF11" i="4" a="1"/>
  <c r="AA90" i="4" a="1"/>
  <c r="AB90" i="4" a="1"/>
  <c r="AB69" i="4" a="1"/>
  <c r="AA69" i="4" a="1"/>
  <c r="AI69" i="4" a="1"/>
  <c r="AJ69" i="4" a="1"/>
  <c r="AF38" i="4" a="1"/>
  <c r="AG38" i="4" a="1"/>
  <c r="AJ6" i="4" a="1"/>
  <c r="AI6" i="4" a="1"/>
  <c r="AG57" i="4" a="1"/>
  <c r="AF57" i="4" a="1"/>
  <c r="AB18" i="4" a="1"/>
  <c r="AA18" i="4" a="1"/>
  <c r="AN8" i="4" a="1"/>
  <c r="AO8" i="4" a="1"/>
  <c r="AF91" i="4" a="1"/>
  <c r="AG91" i="4" a="1"/>
  <c r="AA88" i="4" a="1"/>
  <c r="AB88" i="4" a="1"/>
  <c r="AJ16" i="4" a="1"/>
  <c r="AI16" i="4" a="1"/>
  <c r="AO13" i="4" a="1"/>
  <c r="AN13" i="4" a="1"/>
  <c r="AB74" i="4" a="1"/>
  <c r="AA74" i="4" a="1"/>
  <c r="AI79" i="4" a="1"/>
  <c r="AJ79" i="4" a="1"/>
  <c r="B46" i="1" a="1"/>
  <c r="AJ30" i="4" a="1"/>
  <c r="AI30" i="4" a="1"/>
  <c r="AI5" i="4" a="1"/>
  <c r="AJ5" i="4" a="1"/>
  <c r="AA70" i="4" a="1"/>
  <c r="AB70" i="4" a="1"/>
  <c r="AI44" i="4" a="1"/>
  <c r="AJ44" i="4" a="1"/>
  <c r="AN35" i="4" a="1"/>
  <c r="AO35" i="4" a="1"/>
  <c r="AI93" i="4" a="1"/>
  <c r="AJ93" i="4" a="1"/>
  <c r="AJ51" i="4" a="1"/>
  <c r="AI51" i="4" a="1"/>
  <c r="AA41" i="4" a="1"/>
  <c r="AB41" i="4" a="1"/>
  <c r="AJ25" i="4" a="1"/>
  <c r="AI25" i="4" a="1"/>
  <c r="AJ86" i="4" a="1"/>
  <c r="AI86" i="4" a="1"/>
  <c r="AB87" i="4" a="1"/>
  <c r="AA87" i="4" a="1"/>
  <c r="AI11" i="4" a="1"/>
  <c r="AJ11" i="4" a="1"/>
  <c r="AI22" i="4" a="1"/>
  <c r="AJ22" i="4" a="1"/>
  <c r="AO81" i="4" a="1"/>
  <c r="AN81" i="4" a="1"/>
  <c r="AG59" i="4" a="1"/>
  <c r="AF59" i="4" a="1"/>
  <c r="AB84" i="4" a="1"/>
  <c r="AA84" i="4" a="1"/>
  <c r="AO74" i="4" a="1"/>
  <c r="AN74" i="4" a="1"/>
  <c r="AI74" i="4" a="1"/>
  <c r="AJ74" i="4" a="1"/>
  <c r="AJ14" i="4" a="1"/>
  <c r="AI14" i="4" a="1"/>
  <c r="AG85" i="4" a="1"/>
  <c r="AF85" i="4" a="1"/>
  <c r="AG20" i="4" a="1"/>
  <c r="AF20" i="4" a="1"/>
  <c r="AN30" i="4" a="1"/>
  <c r="AO30" i="4" a="1"/>
  <c r="AG80" i="4" a="1"/>
  <c r="AF80" i="4" a="1"/>
  <c r="AO12" i="4" a="1"/>
  <c r="AN12" i="4" a="1"/>
  <c r="AB12" i="4" a="1"/>
  <c r="AA12" i="4" a="1"/>
  <c r="AG75" i="4" a="1"/>
  <c r="AF75" i="4" a="1"/>
  <c r="AO92" i="4" a="1"/>
  <c r="AN92" i="4" a="1"/>
  <c r="AG92" i="4" a="1"/>
  <c r="AF92" i="4" a="1"/>
  <c r="AB44" i="4" a="1"/>
  <c r="AA44" i="4" a="1"/>
  <c r="AG32" i="4" a="1"/>
  <c r="AF32" i="4" a="1"/>
  <c r="AG51" i="4" a="1"/>
  <c r="AF51" i="4" a="1"/>
  <c r="AF19" i="4" a="1"/>
  <c r="AG19" i="4" a="1"/>
  <c r="AI50" i="4" a="1"/>
  <c r="AJ50" i="4" a="1"/>
  <c r="AF50" i="4" a="1"/>
  <c r="AG50" i="4" a="1"/>
  <c r="AJ87" i="4" a="1"/>
  <c r="AI87" i="4" a="1"/>
  <c r="AN72" i="4" a="1"/>
  <c r="AO72" i="4" a="1"/>
  <c r="AB67" i="4" a="1"/>
  <c r="AA67" i="4" a="1"/>
  <c r="AN36" i="4" a="1"/>
  <c r="AO36" i="4" a="1"/>
  <c r="AN21" i="4" a="1"/>
  <c r="AO21" i="4" a="1"/>
  <c r="AB89" i="4" a="1"/>
  <c r="AA89" i="4" a="1"/>
  <c r="AN7" i="4" a="1"/>
  <c r="AO7" i="4" a="1"/>
  <c r="AG17" i="4" a="1"/>
  <c r="AF17" i="4" a="1"/>
  <c r="AN45" i="4" a="1"/>
  <c r="AO45" i="4" a="1"/>
  <c r="AI78" i="4" a="1"/>
  <c r="AJ78" i="4" a="1"/>
  <c r="AA27" i="4" a="1"/>
  <c r="AB27" i="4" a="1"/>
  <c r="AO20" i="4" a="1"/>
  <c r="AN20" i="4" a="1"/>
  <c r="AB20" i="4" a="1"/>
  <c r="AA20" i="4" a="1"/>
  <c r="AA80" i="4" a="1"/>
  <c r="AB80" i="4" a="1"/>
  <c r="AA34" i="4" a="1"/>
  <c r="AB34" i="4" a="1"/>
  <c r="AI75" i="4" a="1"/>
  <c r="AJ75" i="4" a="1"/>
  <c r="AI70" i="4" a="1"/>
  <c r="AJ70" i="4" a="1"/>
  <c r="AI41" i="4" a="1"/>
  <c r="AJ41" i="4" a="1"/>
  <c r="AJ49" i="4" a="1"/>
  <c r="AI49" i="4" a="1"/>
  <c r="AB71" i="4" a="1"/>
  <c r="AA71" i="4" a="1"/>
  <c r="AB48" i="4" a="1"/>
  <c r="AA48" i="4" a="1"/>
  <c r="AG66" i="4" a="1"/>
  <c r="AF66" i="4" a="1"/>
  <c r="AG22" i="4" a="1"/>
  <c r="AF22" i="4" a="1"/>
  <c r="AF52" i="4" a="1"/>
  <c r="AG52" i="4" a="1"/>
  <c r="AA52" i="4" a="1"/>
  <c r="AB52" i="4" a="1"/>
  <c r="AN67" i="4" a="1"/>
  <c r="AO67" i="4" a="1"/>
  <c r="AG90" i="4" a="1"/>
  <c r="AF90" i="4" a="1"/>
  <c r="AG81" i="4" a="1"/>
  <c r="AF81" i="4" a="1"/>
  <c r="AO73" i="4" a="1"/>
  <c r="AN73" i="4" a="1"/>
  <c r="AJ7" i="4" a="1"/>
  <c r="AI7" i="4" a="1"/>
  <c r="AO15" i="4" a="1"/>
  <c r="AN15" i="4" a="1"/>
  <c r="AO17" i="4" a="1"/>
  <c r="AN17" i="4" a="1"/>
  <c r="AA64" i="4" a="1"/>
  <c r="AB64" i="4" a="1"/>
  <c r="AN91" i="4" a="1"/>
  <c r="AO91" i="4" a="1"/>
  <c r="AA91" i="4" a="1"/>
  <c r="AB91" i="4" a="1"/>
  <c r="AI88" i="4" a="1"/>
  <c r="AJ88" i="4" a="1"/>
  <c r="AB54" i="4" a="1"/>
  <c r="AA54" i="4" a="1"/>
  <c r="AF27" i="4" a="1"/>
  <c r="AG27" i="4" a="1"/>
  <c r="AB16" i="4" a="1"/>
  <c r="AA16" i="4" a="1"/>
  <c r="AI47" i="4" a="1"/>
  <c r="AJ47" i="4" a="1"/>
  <c r="AB47" i="4" a="1"/>
  <c r="AA47" i="4" a="1"/>
  <c r="AA79" i="4" a="1"/>
  <c r="AB79" i="4" a="1"/>
  <c r="B53" i="1" a="1"/>
  <c r="BJ9" i="4" a="1"/>
  <c r="DF9" i="4" a="1"/>
  <c r="BI9" i="4" a="1"/>
  <c r="BK9" i="4" a="1"/>
  <c r="B80" i="1" a="1"/>
  <c r="AO33" i="4" a="1"/>
  <c r="AN33" i="4" a="1"/>
  <c r="AB82" i="4" a="1"/>
  <c r="AA82" i="4" a="1"/>
  <c r="AA46" i="4" a="1"/>
  <c r="AB46" i="4" a="1"/>
  <c r="AB5" i="4" a="1"/>
  <c r="AA5" i="4" a="1"/>
  <c r="AO42" i="4" a="1"/>
  <c r="AN42" i="4" a="1"/>
  <c r="AI26" i="4" a="1"/>
  <c r="AJ26" i="4" a="1"/>
  <c r="AG44" i="4" a="1"/>
  <c r="AF44" i="4" a="1"/>
  <c r="AG35" i="4" a="1"/>
  <c r="AF35" i="4" a="1"/>
  <c r="AN93" i="4" a="1"/>
  <c r="AO93" i="4" a="1"/>
  <c r="AI32" i="4" a="1"/>
  <c r="AJ32" i="4" a="1"/>
  <c r="AN51" i="4" a="1"/>
  <c r="AO51" i="4" a="1"/>
  <c r="AN41" i="4" a="1"/>
  <c r="AO41" i="4" a="1"/>
  <c r="AO25" i="4" a="1"/>
  <c r="AN25" i="4" a="1"/>
  <c r="AB68" i="4" a="1"/>
  <c r="AA68" i="4" a="1"/>
  <c r="AN83" i="4" a="1"/>
  <c r="AO83" i="4" a="1"/>
  <c r="AN48" i="4" a="1"/>
  <c r="AO48" i="4" a="1"/>
  <c r="AO11" i="4" a="1"/>
  <c r="AN11" i="4" a="1"/>
  <c r="AI66" i="4" a="1"/>
  <c r="AJ66" i="4" a="1"/>
  <c r="AA22" i="4" a="1"/>
  <c r="AB22" i="4" a="1"/>
  <c r="AG28" i="4" a="1"/>
  <c r="AF28" i="4" a="1"/>
  <c r="AA73" i="4" a="1"/>
  <c r="AB73" i="4" a="1"/>
  <c r="AG21" i="4" a="1"/>
  <c r="AF21" i="4" a="1"/>
  <c r="AA7" i="4" a="1"/>
  <c r="AB7" i="4" a="1"/>
  <c r="AO62" i="4" a="1"/>
  <c r="AN62" i="4" a="1"/>
  <c r="AJ15" i="4" a="1"/>
  <c r="AI15" i="4" a="1"/>
  <c r="AB8" i="4" a="1"/>
  <c r="AA8" i="4" a="1"/>
  <c r="AB17" i="4" a="1"/>
  <c r="AA17" i="4" a="1"/>
  <c r="AG64" i="4" a="1"/>
  <c r="AF64" i="4" a="1"/>
  <c r="AA40" i="4" a="1"/>
  <c r="AB40" i="4" a="1"/>
  <c r="AA77" i="4" a="1"/>
  <c r="AB77" i="4" a="1"/>
  <c r="AO84" i="4" a="1"/>
  <c r="AN84" i="4" a="1"/>
  <c r="AF43" i="4" a="1"/>
  <c r="AG43" i="4" a="1"/>
  <c r="AO43" i="4" a="1"/>
  <c r="AN43" i="4" a="1"/>
  <c r="AF14" i="4" a="1"/>
  <c r="AG14" i="4" a="1"/>
  <c r="B85" i="1" a="1"/>
  <c r="B30" i="1" a="1"/>
  <c r="AG30" i="4" a="1"/>
  <c r="AF30" i="4" a="1"/>
  <c r="AI82" i="4" a="1"/>
  <c r="AJ82" i="4" a="1"/>
  <c r="AN46" i="4" a="1"/>
  <c r="AO46" i="4" a="1"/>
  <c r="AJ46" i="4" a="1"/>
  <c r="AI46" i="4" a="1"/>
  <c r="AN5" i="4" a="1"/>
  <c r="AO5" i="4" a="1"/>
  <c r="AA65" i="4" a="1"/>
  <c r="AB65" i="4" a="1"/>
  <c r="AI34" i="4" a="1"/>
  <c r="AJ34" i="4" a="1"/>
  <c r="AB83" i="4" a="1"/>
  <c r="AA83" i="4" a="1"/>
  <c r="AG87" i="4" a="1"/>
  <c r="AF87" i="4" a="1"/>
  <c r="AG71" i="4" a="1"/>
  <c r="AF71" i="4" a="1"/>
  <c r="AN31" i="4" a="1"/>
  <c r="AO31" i="4" a="1"/>
  <c r="AB72" i="4" a="1"/>
  <c r="AA72" i="4" a="1"/>
  <c r="AJ67" i="4" a="1"/>
  <c r="AI67" i="4" a="1"/>
  <c r="AB36" i="4" a="1"/>
  <c r="AA36" i="4" a="1"/>
  <c r="AI36" i="4" a="1"/>
  <c r="AJ36" i="4" a="1"/>
  <c r="AG73" i="4" a="1"/>
  <c r="AF73" i="4" a="1"/>
  <c r="AA21" i="4" a="1"/>
  <c r="AB21" i="4" a="1"/>
  <c r="AF89" i="4" a="1"/>
  <c r="AG89" i="4" a="1"/>
  <c r="AI62" i="4" a="1"/>
  <c r="AJ62" i="4" a="1"/>
  <c r="AG29" i="4" a="1"/>
  <c r="AF29" i="4" a="1"/>
  <c r="AN18" i="4" a="1"/>
  <c r="AO18" i="4" a="1"/>
  <c r="AG15" i="4" a="1"/>
  <c r="AF15" i="4" a="1"/>
  <c r="AB61" i="4" a="1"/>
  <c r="AA61" i="4" a="1"/>
  <c r="AI64" i="4" a="1"/>
  <c r="AJ64" i="4" a="1"/>
  <c r="AA45" i="4" a="1"/>
  <c r="AB45" i="4" a="1"/>
  <c r="AJ37" i="4" a="1"/>
  <c r="AI37" i="4" a="1"/>
  <c r="AJ76" i="4" a="1"/>
  <c r="AI76" i="4" a="1"/>
  <c r="AN78" i="4" a="1"/>
  <c r="AO78" i="4" a="1"/>
  <c r="AI13" i="4" a="1"/>
  <c r="AJ13" i="4" a="1"/>
  <c r="AO47" i="4" a="1"/>
  <c r="AN47" i="4" a="1"/>
  <c r="AJ20" i="4" a="1"/>
  <c r="AI20" i="4" a="1"/>
  <c r="AN75" i="4" a="1"/>
  <c r="AO75" i="4" a="1"/>
  <c r="AO70" i="4" a="1"/>
  <c r="AN70" i="4" a="1"/>
  <c r="AB32" i="4" a="1"/>
  <c r="AA32" i="4" a="1"/>
  <c r="AO32" i="4" a="1"/>
  <c r="AN32" i="4" a="1"/>
  <c r="AF25" i="4" a="1"/>
  <c r="AG25" i="4" a="1"/>
  <c r="AJ19" i="4" a="1"/>
  <c r="AI19" i="4" a="1"/>
  <c r="AA86" i="4" a="1"/>
  <c r="AB86" i="4" a="1"/>
  <c r="AO50" i="4" a="1"/>
  <c r="AN50" i="4" a="1"/>
  <c r="AJ83" i="4" a="1"/>
  <c r="AI83" i="4" a="1"/>
  <c r="AG48" i="4" a="1"/>
  <c r="AF48" i="4" a="1"/>
  <c r="AB31" i="4" a="1"/>
  <c r="AA31" i="4" a="1"/>
  <c r="AO90" i="4" a="1"/>
  <c r="AN90" i="4" a="1"/>
  <c r="AG6" i="4" a="1"/>
  <c r="AF6" i="4" a="1"/>
  <c r="AJ8" i="4" a="1"/>
  <c r="AI8" i="4" a="1"/>
  <c r="AF37" i="4" a="1"/>
  <c r="AG37" i="4" a="1"/>
  <c r="AN37" i="4" a="1"/>
  <c r="AO37" i="4" a="1"/>
  <c r="AI91" i="4" a="1"/>
  <c r="AJ91" i="4" a="1"/>
  <c r="AF40" i="4" a="1"/>
  <c r="AG40" i="4" a="1"/>
  <c r="AJ54" i="4" a="1"/>
  <c r="AI54" i="4" a="1"/>
  <c r="AF77" i="4" a="1"/>
  <c r="AG77" i="4" a="1"/>
  <c r="AG79" i="4" a="1"/>
  <c r="AF79" i="4" a="1"/>
  <c r="AO85" i="4" a="1"/>
  <c r="AN85" i="4" a="1"/>
  <c r="AF53" i="4" a="1"/>
  <c r="AG53" i="4" a="1"/>
  <c r="AF33" i="4" a="1"/>
  <c r="AG33" i="4" a="1"/>
  <c r="AI80" i="4" a="1"/>
  <c r="AJ80" i="4" a="1"/>
  <c r="AN65" i="4" a="1"/>
  <c r="AO65" i="4" a="1"/>
  <c r="AN44" i="4" a="1"/>
  <c r="AO44" i="4" a="1"/>
  <c r="AI63" i="4" a="1"/>
  <c r="AJ63" i="4" a="1"/>
  <c r="AG83" i="4" a="1"/>
  <c r="AF83" i="4" a="1"/>
  <c r="AJ24" i="4" a="1"/>
  <c r="AI24" i="4" a="1"/>
  <c r="AI48" i="4" a="1"/>
  <c r="AJ48" i="4" a="1"/>
  <c r="AN66" i="4" a="1"/>
  <c r="AO66" i="4" a="1"/>
  <c r="AI28" i="4" a="1"/>
  <c r="AJ28" i="4" a="1"/>
  <c r="AO52" i="4" a="1"/>
  <c r="AN52" i="4" a="1"/>
  <c r="AF72" i="4" a="1"/>
  <c r="AG72" i="4" a="1"/>
  <c r="AJ81" i="4" a="1"/>
  <c r="AI81" i="4" a="1"/>
  <c r="AJ38" i="4" a="1"/>
  <c r="AI38" i="4" a="1"/>
  <c r="AJ21" i="4" a="1"/>
  <c r="AI21" i="4" a="1"/>
  <c r="AB62" i="4" a="1"/>
  <c r="AA62" i="4" a="1"/>
  <c r="AI59" i="4" a="1"/>
  <c r="AJ59" i="4" a="1"/>
  <c r="AO29" i="4" a="1"/>
  <c r="AN29" i="4" a="1"/>
  <c r="AO76" i="4" a="1"/>
  <c r="AN76" i="4" a="1"/>
  <c r="AO54" i="4" a="1"/>
  <c r="AN54" i="4" a="1"/>
  <c r="AG54" i="4" a="1"/>
  <c r="AF54" i="4" a="1"/>
  <c r="AN77" i="4" a="1"/>
  <c r="AO77" i="4" a="1"/>
  <c r="AO16" i="4" a="1"/>
  <c r="AN16" i="4" a="1"/>
  <c r="AG13" i="4" a="1"/>
  <c r="AF13" i="4" a="1"/>
  <c r="B33" i="1" a="1"/>
  <c r="B20" i="1" a="1"/>
  <c r="B82" i="1" a="1"/>
  <c r="AJ33" i="4" a="1"/>
  <c r="AI33" i="4" a="1"/>
  <c r="AF46" i="4" a="1"/>
  <c r="AG46" i="4" a="1"/>
  <c r="AF39" i="4" a="1"/>
  <c r="AG39" i="4" a="1"/>
  <c r="AG65" i="4" a="1"/>
  <c r="AF65" i="4" a="1"/>
  <c r="AO34" i="4" a="1"/>
  <c r="AN34" i="4" a="1"/>
  <c r="AB42" i="4" a="1"/>
  <c r="AA42" i="4" a="1"/>
  <c r="AB26" i="4" a="1"/>
  <c r="AA26" i="4" a="1"/>
  <c r="AF41" i="4" a="1"/>
  <c r="AG41" i="4" a="1"/>
  <c r="AA25" i="4" a="1"/>
  <c r="AB25" i="4" a="1"/>
  <c r="AA49" i="4" a="1"/>
  <c r="AB49" i="4" a="1"/>
  <c r="AA50" i="4" a="1"/>
  <c r="AB50" i="4" a="1"/>
  <c r="AG24" i="4" a="1"/>
  <c r="AF24" i="4" a="1"/>
  <c r="AJ72" i="4" a="1"/>
  <c r="AI72" i="4" a="1"/>
  <c r="AF67" i="4" a="1"/>
  <c r="AG67" i="4" a="1"/>
  <c r="AO6" i="4" a="1"/>
  <c r="AN6" i="4" a="1"/>
  <c r="AN59" i="4" a="1"/>
  <c r="AO59" i="4" a="1"/>
  <c r="AB29" i="4" a="1"/>
  <c r="AA29" i="4" a="1"/>
  <c r="AI29" i="4" a="1"/>
  <c r="AJ29" i="4" a="1"/>
  <c r="AJ17" i="4" a="1"/>
  <c r="AI17" i="4" a="1"/>
  <c r="AF45" i="4" a="1"/>
  <c r="AG45" i="4" a="1"/>
  <c r="AA76" i="4" a="1"/>
  <c r="AB76" i="4" a="1"/>
  <c r="AN88" i="4" a="1"/>
  <c r="AO88" i="4" a="1"/>
  <c r="AN40" i="4" a="1"/>
  <c r="AO40" i="4" a="1"/>
  <c r="AN27" i="4" a="1"/>
  <c r="AO27" i="4" a="1"/>
  <c r="AJ84" i="4" a="1"/>
  <c r="AI84" i="4" a="1"/>
  <c r="AF84" i="4" a="1"/>
  <c r="AG84" i="4" a="1"/>
  <c r="B6" i="1" a="1"/>
  <c r="B13" i="1" a="1"/>
  <c r="B56" i="1" a="1"/>
  <c r="B32" i="1" a="1"/>
  <c r="B19" i="1" a="1"/>
  <c r="B7" i="1" a="1"/>
  <c r="B59" i="1" a="1"/>
  <c r="B41" i="1" a="1"/>
  <c r="B71" i="1" a="1"/>
  <c r="B48" i="1" a="1"/>
  <c r="B69" i="1" a="1"/>
  <c r="B21" i="1" a="1"/>
  <c r="B57" i="1" a="1"/>
  <c r="B27" i="1" a="1"/>
  <c r="B91" i="1" a="1"/>
  <c r="B78" i="1" a="1"/>
  <c r="B26" i="1" a="1"/>
  <c r="B49" i="1" a="1"/>
  <c r="B24" i="1" a="1"/>
  <c r="B52" i="1" a="1"/>
  <c r="B36" i="1" a="1"/>
  <c r="B45" i="1" a="1"/>
  <c r="B37" i="1" a="1"/>
  <c r="B43" i="1" a="1"/>
  <c r="B65" i="1" a="1"/>
  <c r="B51" i="1" a="1"/>
  <c r="B25" i="1" a="1"/>
  <c r="B50" i="1" a="1"/>
  <c r="B66" i="1" a="1"/>
  <c r="B22" i="1" a="1"/>
  <c r="B67" i="1" a="1"/>
  <c r="B64" i="1" a="1"/>
  <c r="B76" i="1" a="1"/>
  <c r="B74" i="1" a="1"/>
  <c r="B14" i="1" a="1"/>
  <c r="BI4" i="4" a="1"/>
  <c r="BJ4" i="4" a="1"/>
  <c r="BK4" i="4" a="1"/>
  <c r="DF4" i="4" a="1"/>
  <c r="B68" i="1" a="1"/>
  <c r="B72" i="1" a="1"/>
  <c r="B38" i="1" a="1"/>
  <c r="CB60" i="4" a="1"/>
  <c r="CF60" i="4" a="1"/>
  <c r="AE60" i="4" a="1"/>
  <c r="CH60" i="4"/>
  <c r="CC60" i="4" a="1"/>
  <c r="CG60" i="4" a="1"/>
  <c r="CE60" i="4" a="1"/>
  <c r="CI60" i="4" a="1"/>
  <c r="CL60" i="4" a="1"/>
  <c r="CK60" i="4" a="1"/>
  <c r="AK60" i="4" a="1"/>
  <c r="BN60" i="4" a="1"/>
  <c r="AC60" i="4" a="1"/>
  <c r="CJ60" i="4" a="1"/>
  <c r="CQ60" i="4"/>
  <c r="CN60" i="4" a="1"/>
  <c r="AM60" i="4" a="1"/>
  <c r="CT60" i="4"/>
  <c r="CD60" i="4" a="1"/>
  <c r="BP60" i="4" a="1"/>
  <c r="CM60" i="4" a="1"/>
  <c r="B47" i="1" a="1"/>
  <c r="B12" i="1" a="1"/>
  <c r="B70" i="1" a="1"/>
  <c r="B63" i="1" a="1"/>
  <c r="B86" i="1" a="1"/>
  <c r="B29" i="1" a="1"/>
  <c r="B61" i="1" a="1"/>
  <c r="B79" i="1" a="1"/>
  <c r="B34" i="1" a="1"/>
  <c r="B44" i="1" a="1"/>
  <c r="B35" i="1" a="1"/>
  <c r="B93" i="1" a="1"/>
  <c r="B87" i="1" a="1"/>
  <c r="B90" i="1" a="1"/>
  <c r="B62" i="1" a="1"/>
  <c r="B17" i="1" a="1"/>
  <c r="B54" i="1" a="1"/>
  <c r="B75" i="1" a="1"/>
  <c r="BJ10" i="4" a="1"/>
  <c r="BK10" i="4" a="1"/>
  <c r="DF10" i="4" a="1"/>
  <c r="BI10" i="4" a="1"/>
  <c r="B31" i="1" a="1"/>
  <c r="B73" i="1" a="1"/>
  <c r="B40" i="1" a="1"/>
  <c r="DF3" i="4" a="1"/>
  <c r="BI3" i="4" a="1"/>
  <c r="BJ3" i="4" a="1"/>
  <c r="BK3" i="4" a="1"/>
  <c r="B92" i="1" a="1"/>
  <c r="B83" i="1" a="1"/>
  <c r="B11" i="1" a="1"/>
  <c r="B88" i="1" a="1"/>
  <c r="B28" i="1" a="1"/>
  <c r="B81" i="1" a="1"/>
  <c r="B15" i="1" a="1"/>
  <c r="B8" i="1" a="1"/>
  <c r="B16" i="1" a="1"/>
  <c r="B42" i="1" a="1"/>
  <c r="AC23" i="4" a="1"/>
  <c r="AE23" i="4" a="1"/>
  <c r="CD23" i="4" a="1"/>
  <c r="CJ23" i="4" a="1"/>
  <c r="CL23" i="4" a="1"/>
  <c r="CE23" i="4" a="1"/>
  <c r="BN23" i="4" a="1"/>
  <c r="CB23" i="4" a="1"/>
  <c r="CF23" i="4" a="1"/>
  <c r="CQ23" i="4"/>
  <c r="CG23" i="4" a="1"/>
  <c r="CM23" i="4" a="1"/>
  <c r="CT23" i="4"/>
  <c r="CI23" i="4" a="1"/>
  <c r="CN23" i="4" a="1"/>
  <c r="CH23" i="4"/>
  <c r="CC23" i="4" a="1"/>
  <c r="BP23" i="4" a="1"/>
  <c r="AM23" i="4" a="1"/>
  <c r="AK23" i="4" a="1"/>
  <c r="CK23" i="4" a="1"/>
  <c r="B89" i="1" a="1"/>
  <c r="B18" i="1" a="1"/>
  <c r="B84" i="1" a="1"/>
  <c r="B77" i="1" a="1"/>
  <c r="CP60" i="4" a="1"/>
  <c r="CO60" i="4" a="1"/>
  <c r="CS60" i="4" a="1"/>
  <c r="CR60" i="4" a="1"/>
  <c r="CP23" i="4" a="1"/>
  <c r="CO23" i="4" a="1"/>
  <c r="CR23" i="4" a="1"/>
  <c r="CS23" i="4" a="1"/>
  <c r="B22" i="27" l="1"/>
  <c r="B23" i="27" s="1"/>
  <c r="B21" i="27"/>
  <c r="I69" i="27"/>
  <c r="I49" i="27"/>
  <c r="I68" i="27"/>
  <c r="I40" i="27"/>
  <c r="I67" i="27"/>
  <c r="I47" i="27"/>
  <c r="I73" i="27"/>
  <c r="I57" i="27"/>
  <c r="I33" i="27"/>
  <c r="I64" i="27"/>
  <c r="I44" i="27"/>
  <c r="I59" i="27"/>
  <c r="I51" i="27"/>
  <c r="I35" i="27"/>
  <c r="I74" i="27"/>
  <c r="I70" i="27"/>
  <c r="I66" i="27"/>
  <c r="I62" i="27"/>
  <c r="I58" i="27"/>
  <c r="I54" i="27"/>
  <c r="I50" i="27"/>
  <c r="I46" i="27"/>
  <c r="I42" i="27"/>
  <c r="I38" i="27"/>
  <c r="I34" i="27"/>
  <c r="I65" i="27"/>
  <c r="I61" i="27"/>
  <c r="I53" i="27"/>
  <c r="I45" i="27"/>
  <c r="I41" i="27"/>
  <c r="I37" i="27"/>
  <c r="I72" i="27"/>
  <c r="I60" i="27"/>
  <c r="I52" i="27"/>
  <c r="I48" i="27"/>
  <c r="I36" i="27"/>
  <c r="I63" i="27"/>
  <c r="I39" i="27"/>
  <c r="I56" i="27"/>
  <c r="I71" i="27"/>
  <c r="I55" i="27"/>
  <c r="I43" i="27"/>
  <c r="I31" i="27"/>
  <c r="I32" i="27"/>
  <c r="BA24" i="71"/>
  <c r="BW11" i="4"/>
  <c r="BA32" i="71"/>
  <c r="BA27" i="71"/>
  <c r="BA12" i="71"/>
  <c r="BA18" i="71"/>
  <c r="BB38" i="71"/>
  <c r="E338" i="15"/>
  <c r="E50" i="15"/>
  <c r="BA33" i="71"/>
  <c r="AS36" i="4"/>
  <c r="AV638" i="13" s="1"/>
  <c r="BA25" i="71"/>
  <c r="BA15" i="71"/>
  <c r="BA14" i="71"/>
  <c r="BA30" i="71"/>
  <c r="L9" i="72"/>
  <c r="AS21" i="4"/>
  <c r="AV623" i="13" s="1"/>
  <c r="H23" i="9"/>
  <c r="BA16" i="71"/>
  <c r="BA21" i="71"/>
  <c r="BA7" i="71"/>
  <c r="BA8" i="71"/>
  <c r="BA35" i="71"/>
  <c r="H36" i="71"/>
  <c r="H16" i="71"/>
  <c r="H23" i="71"/>
  <c r="H32" i="71"/>
  <c r="H6" i="71"/>
  <c r="H7" i="9"/>
  <c r="H22" i="71"/>
  <c r="H21" i="71"/>
  <c r="H8" i="71"/>
  <c r="H24" i="71"/>
  <c r="H26" i="71"/>
  <c r="H27" i="71"/>
  <c r="AS5" i="4"/>
  <c r="AV607" i="13" s="1"/>
  <c r="H31" i="71"/>
  <c r="H9" i="9"/>
  <c r="AS48" i="4"/>
  <c r="AV650" i="13" s="1"/>
  <c r="BA22" i="71"/>
  <c r="BA20" i="71"/>
  <c r="H33" i="71"/>
  <c r="AL4" i="4"/>
  <c r="I4" i="69" s="1"/>
  <c r="L9" i="69"/>
  <c r="H4" i="71"/>
  <c r="BA19" i="71"/>
  <c r="H10" i="71"/>
  <c r="H18" i="71"/>
  <c r="E178" i="15"/>
  <c r="H19" i="71"/>
  <c r="BA13" i="71"/>
  <c r="H19" i="9"/>
  <c r="AS15" i="4"/>
  <c r="AV617" i="13" s="1"/>
  <c r="J572" i="15"/>
  <c r="AS18" i="4"/>
  <c r="AV620" i="13" s="1"/>
  <c r="AS33" i="4"/>
  <c r="AV635" i="13" s="1"/>
  <c r="E575" i="15"/>
  <c r="AS47" i="4"/>
  <c r="AV649" i="13" s="1"/>
  <c r="AH10" i="4"/>
  <c r="AV1306" i="13" s="1"/>
  <c r="H15" i="71"/>
  <c r="H5" i="71"/>
  <c r="BA10" i="71"/>
  <c r="H20" i="71"/>
  <c r="BW43" i="4"/>
  <c r="AS27" i="4"/>
  <c r="AV629" i="13" s="1"/>
  <c r="H54" i="9"/>
  <c r="H14" i="71"/>
  <c r="BA26" i="71"/>
  <c r="BA5" i="71"/>
  <c r="BA11" i="71"/>
  <c r="H30" i="71"/>
  <c r="I74" i="4"/>
  <c r="A79" i="4"/>
  <c r="J573" i="15"/>
  <c r="H11" i="71"/>
  <c r="K79" i="4"/>
  <c r="AS49" i="4"/>
  <c r="AV651" i="13" s="1"/>
  <c r="AS35" i="4"/>
  <c r="AV637" i="13" s="1"/>
  <c r="AS34" i="4"/>
  <c r="AV636" i="13" s="1"/>
  <c r="H7" i="71"/>
  <c r="M77" i="4"/>
  <c r="AS17" i="4"/>
  <c r="AV619" i="13" s="1"/>
  <c r="BA23" i="71"/>
  <c r="BA6" i="71"/>
  <c r="H25" i="71"/>
  <c r="BA9" i="71"/>
  <c r="H34" i="71"/>
  <c r="H28" i="71"/>
  <c r="K84" i="4"/>
  <c r="AS12" i="4"/>
  <c r="AV614" i="13" s="1"/>
  <c r="E154" i="15"/>
  <c r="BA34" i="71"/>
  <c r="E329" i="15"/>
  <c r="BA29" i="71"/>
  <c r="BW22" i="4"/>
  <c r="BW8" i="4"/>
  <c r="BW33" i="4"/>
  <c r="BW26" i="4"/>
  <c r="BW40" i="4"/>
  <c r="BW69" i="4"/>
  <c r="BW52" i="4"/>
  <c r="C19" i="27"/>
  <c r="T9" i="72"/>
  <c r="BS9" i="72" s="1"/>
  <c r="M9" i="72"/>
  <c r="BW28" i="4"/>
  <c r="BW87" i="4"/>
  <c r="BW91" i="4"/>
  <c r="BW63" i="4"/>
  <c r="BW56" i="4"/>
  <c r="BW35" i="4"/>
  <c r="BW47" i="4"/>
  <c r="BW21" i="4"/>
  <c r="BW36" i="4"/>
  <c r="BW70" i="4"/>
  <c r="BH10" i="72"/>
  <c r="Z10" i="4"/>
  <c r="AV1207" i="13" s="1"/>
  <c r="H34" i="9"/>
  <c r="AP10" i="4"/>
  <c r="AV312" i="13" s="1"/>
  <c r="AV412" i="13" s="1"/>
  <c r="H16" i="9"/>
  <c r="AL10" i="4"/>
  <c r="I10" i="72" s="1"/>
  <c r="AS13" i="4"/>
  <c r="AV615" i="13" s="1"/>
  <c r="AS8" i="4"/>
  <c r="AV610" i="13" s="1"/>
  <c r="BC10" i="69"/>
  <c r="AS30" i="4"/>
  <c r="AV632" i="13" s="1"/>
  <c r="AH4" i="4"/>
  <c r="AV1300" i="13" s="1"/>
  <c r="H45" i="9"/>
  <c r="H20" i="9"/>
  <c r="AS42" i="4"/>
  <c r="AV644" i="13" s="1"/>
  <c r="AT10" i="69" a="1"/>
  <c r="AT10" i="69" s="1"/>
  <c r="BH9" i="72"/>
  <c r="I57" i="4"/>
  <c r="E37" i="71"/>
  <c r="AS32" i="4"/>
  <c r="AV634" i="13" s="1"/>
  <c r="H28" i="9"/>
  <c r="AY10" i="72" a="1"/>
  <c r="AY10" i="72" s="1"/>
  <c r="BW30" i="4"/>
  <c r="K74" i="4"/>
  <c r="K78" i="4"/>
  <c r="AZ59" i="4"/>
  <c r="H38" i="9"/>
  <c r="H50" i="9"/>
  <c r="H22" i="9"/>
  <c r="AS20" i="4"/>
  <c r="AV622" i="13" s="1"/>
  <c r="BW73" i="4"/>
  <c r="Z95" i="69"/>
  <c r="AS29" i="4"/>
  <c r="AV631" i="13" s="1"/>
  <c r="M79" i="4"/>
  <c r="AS43" i="4"/>
  <c r="AV645" i="13" s="1"/>
  <c r="H15" i="9"/>
  <c r="M84" i="4"/>
  <c r="BS77" i="4"/>
  <c r="H29" i="9"/>
  <c r="H56" i="9"/>
  <c r="AS40" i="4"/>
  <c r="AV642" i="13" s="1"/>
  <c r="I91" i="4"/>
  <c r="AS22" i="4"/>
  <c r="AV624" i="13" s="1"/>
  <c r="H13" i="9"/>
  <c r="AS50" i="4"/>
  <c r="AV652" i="13" s="1"/>
  <c r="AZ84" i="4"/>
  <c r="BS88" i="4"/>
  <c r="A91" i="4"/>
  <c r="AS11" i="4"/>
  <c r="AV613" i="13" s="1"/>
  <c r="F10" i="4"/>
  <c r="BA17" i="71"/>
  <c r="H35" i="71"/>
  <c r="I38" i="71"/>
  <c r="H17" i="71"/>
  <c r="BA4" i="71"/>
  <c r="BW38" i="4"/>
  <c r="BW41" i="4"/>
  <c r="AE9" i="69" a="1"/>
  <c r="AE9" i="69" s="1"/>
  <c r="AH9" i="69" s="1" a="1"/>
  <c r="AH9" i="69" s="1"/>
  <c r="BW5" i="4"/>
  <c r="BW71" i="4"/>
  <c r="BW61" i="4"/>
  <c r="BC9" i="69"/>
  <c r="BW13" i="4"/>
  <c r="BW88" i="4"/>
  <c r="BW59" i="4"/>
  <c r="BW89" i="4"/>
  <c r="BW81" i="4"/>
  <c r="BW90" i="4"/>
  <c r="BW66" i="4"/>
  <c r="BW12" i="4"/>
  <c r="BV10" i="72"/>
  <c r="BW74" i="4"/>
  <c r="BW27" i="4"/>
  <c r="BW45" i="4"/>
  <c r="BW24" i="4"/>
  <c r="CS23" i="4"/>
  <c r="CR23" i="4"/>
  <c r="CO23" i="4"/>
  <c r="CP23" i="4"/>
  <c r="CR60" i="4"/>
  <c r="CS60" i="4"/>
  <c r="CO60" i="4"/>
  <c r="CP60" i="4"/>
  <c r="B77" i="1"/>
  <c r="B84" i="1"/>
  <c r="B18" i="1"/>
  <c r="B89" i="1"/>
  <c r="CK23" i="4"/>
  <c r="AK23" i="4"/>
  <c r="AM23" i="4"/>
  <c r="BP23" i="4"/>
  <c r="CC23" i="4"/>
  <c r="CN23" i="4"/>
  <c r="CI23" i="4"/>
  <c r="CM23" i="4"/>
  <c r="CG23" i="4"/>
  <c r="CF23" i="4"/>
  <c r="CB23" i="4"/>
  <c r="BN23" i="4"/>
  <c r="CE23" i="4"/>
  <c r="CL23" i="4"/>
  <c r="CJ23" i="4"/>
  <c r="CD23" i="4"/>
  <c r="AE23" i="4"/>
  <c r="AC23" i="4"/>
  <c r="B42" i="1"/>
  <c r="B16" i="1"/>
  <c r="B8" i="1"/>
  <c r="B15" i="1"/>
  <c r="B81" i="1"/>
  <c r="B28" i="1"/>
  <c r="B88" i="1"/>
  <c r="B11" i="1"/>
  <c r="B83" i="1"/>
  <c r="B92" i="1"/>
  <c r="BK3" i="4"/>
  <c r="BJ3" i="4"/>
  <c r="BI3" i="4"/>
  <c r="DF3" i="4"/>
  <c r="B40" i="1"/>
  <c r="B73" i="1"/>
  <c r="B31" i="1"/>
  <c r="BI10" i="4"/>
  <c r="DF10" i="4"/>
  <c r="BK10" i="4"/>
  <c r="BJ10" i="4"/>
  <c r="B75" i="1"/>
  <c r="B54" i="1"/>
  <c r="B17" i="1"/>
  <c r="B62" i="1"/>
  <c r="B90" i="1"/>
  <c r="B87" i="1"/>
  <c r="B93" i="1"/>
  <c r="B35" i="1"/>
  <c r="B44" i="1"/>
  <c r="B34" i="1"/>
  <c r="B79" i="1"/>
  <c r="B61" i="1"/>
  <c r="B29" i="1"/>
  <c r="B86" i="1"/>
  <c r="B63" i="1"/>
  <c r="B70" i="1"/>
  <c r="B12" i="1"/>
  <c r="B47" i="1"/>
  <c r="CM60" i="4"/>
  <c r="BP60" i="4"/>
  <c r="CD60" i="4"/>
  <c r="AM60" i="4"/>
  <c r="CN60" i="4"/>
  <c r="CJ60" i="4"/>
  <c r="AC60" i="4"/>
  <c r="BN60" i="4"/>
  <c r="AK60" i="4"/>
  <c r="CK60" i="4"/>
  <c r="CL60" i="4"/>
  <c r="CI60" i="4"/>
  <c r="CE60" i="4"/>
  <c r="CG60" i="4"/>
  <c r="CC60" i="4"/>
  <c r="AE60" i="4"/>
  <c r="CF60" i="4"/>
  <c r="CB60" i="4"/>
  <c r="B38" i="1"/>
  <c r="B72" i="1"/>
  <c r="B68" i="1"/>
  <c r="DF4" i="4"/>
  <c r="BK4" i="4"/>
  <c r="BJ4" i="4"/>
  <c r="BI4" i="4"/>
  <c r="B14" i="1"/>
  <c r="B74" i="1"/>
  <c r="B76" i="1"/>
  <c r="B64" i="1"/>
  <c r="B67" i="1"/>
  <c r="B22" i="1"/>
  <c r="B66" i="1"/>
  <c r="B50" i="1"/>
  <c r="B25" i="1"/>
  <c r="B51" i="1"/>
  <c r="B65" i="1"/>
  <c r="B43" i="1"/>
  <c r="B37" i="1"/>
  <c r="B45" i="1"/>
  <c r="B36" i="1"/>
  <c r="B52" i="1"/>
  <c r="B24" i="1"/>
  <c r="B49" i="1"/>
  <c r="B26" i="1"/>
  <c r="B78" i="1"/>
  <c r="B91" i="1"/>
  <c r="B27" i="1"/>
  <c r="B57" i="1"/>
  <c r="B21" i="1"/>
  <c r="B69" i="1"/>
  <c r="B48" i="1"/>
  <c r="B71" i="1"/>
  <c r="B41" i="1"/>
  <c r="B59" i="1"/>
  <c r="B7" i="1"/>
  <c r="B19" i="1"/>
  <c r="B32" i="1"/>
  <c r="B56" i="1"/>
  <c r="B13" i="1"/>
  <c r="B6" i="1"/>
  <c r="AG84" i="4"/>
  <c r="AF84" i="4"/>
  <c r="AI84" i="4"/>
  <c r="AJ84" i="4"/>
  <c r="AO27" i="4"/>
  <c r="AN27" i="4"/>
  <c r="AO40" i="4"/>
  <c r="AN40" i="4"/>
  <c r="AO88" i="4"/>
  <c r="AN88" i="4"/>
  <c r="AB76" i="4"/>
  <c r="AA76" i="4"/>
  <c r="AG45" i="4"/>
  <c r="AF45" i="4"/>
  <c r="AI17" i="4"/>
  <c r="AJ17" i="4"/>
  <c r="AJ29" i="4"/>
  <c r="AI29" i="4"/>
  <c r="AA29" i="4"/>
  <c r="DB29" i="4" s="1"/>
  <c r="AB29" i="4"/>
  <c r="AO59" i="4"/>
  <c r="AN59" i="4"/>
  <c r="AN6" i="4"/>
  <c r="AO6" i="4"/>
  <c r="AG67" i="4"/>
  <c r="AF67" i="4"/>
  <c r="AI72" i="4"/>
  <c r="AJ72" i="4"/>
  <c r="AF24" i="4"/>
  <c r="AG24" i="4"/>
  <c r="AB50" i="4"/>
  <c r="AA50" i="4"/>
  <c r="DB50" i="4" s="1"/>
  <c r="AB49" i="4"/>
  <c r="AA49" i="4"/>
  <c r="DB49" i="4" s="1"/>
  <c r="AB25" i="4"/>
  <c r="AA25" i="4"/>
  <c r="DB25" i="4" s="1"/>
  <c r="AG41" i="4"/>
  <c r="AF41" i="4"/>
  <c r="AA26" i="4"/>
  <c r="DB26" i="4" s="1"/>
  <c r="AB26" i="4"/>
  <c r="AA42" i="4"/>
  <c r="DB42" i="4" s="1"/>
  <c r="AB42" i="4"/>
  <c r="AN34" i="4"/>
  <c r="AO34" i="4"/>
  <c r="AF65" i="4"/>
  <c r="AG65" i="4"/>
  <c r="AG39" i="4"/>
  <c r="AF39" i="4"/>
  <c r="AG46" i="4"/>
  <c r="AF46" i="4"/>
  <c r="AI33" i="4"/>
  <c r="AJ33" i="4"/>
  <c r="B82" i="1"/>
  <c r="B20" i="1"/>
  <c r="B33" i="1"/>
  <c r="AF13" i="4"/>
  <c r="AG13" i="4"/>
  <c r="AN16" i="4"/>
  <c r="AO16" i="4"/>
  <c r="AO77" i="4"/>
  <c r="AN77" i="4"/>
  <c r="AF54" i="4"/>
  <c r="AG54" i="4"/>
  <c r="AN54" i="4"/>
  <c r="AO54" i="4"/>
  <c r="AN76" i="4"/>
  <c r="AO76" i="4"/>
  <c r="AN29" i="4"/>
  <c r="AO29" i="4"/>
  <c r="AJ59" i="4"/>
  <c r="AI59" i="4"/>
  <c r="AA62" i="4"/>
  <c r="AB62" i="4"/>
  <c r="AI21" i="4"/>
  <c r="AJ21" i="4"/>
  <c r="AI38" i="4"/>
  <c r="AJ38" i="4"/>
  <c r="AI81" i="4"/>
  <c r="AJ81" i="4"/>
  <c r="AG72" i="4"/>
  <c r="AF72" i="4"/>
  <c r="AN52" i="4"/>
  <c r="AO52" i="4"/>
  <c r="AJ28" i="4"/>
  <c r="AI28" i="4"/>
  <c r="AO66" i="4"/>
  <c r="AN66" i="4"/>
  <c r="AJ48" i="4"/>
  <c r="AI48" i="4"/>
  <c r="AI24" i="4"/>
  <c r="AJ24" i="4"/>
  <c r="AF83" i="4"/>
  <c r="AG83" i="4"/>
  <c r="AJ63" i="4"/>
  <c r="AI63" i="4"/>
  <c r="AO44" i="4"/>
  <c r="AN44" i="4"/>
  <c r="AO65" i="4"/>
  <c r="AN65" i="4"/>
  <c r="AJ80" i="4"/>
  <c r="AI80" i="4"/>
  <c r="AG33" i="4"/>
  <c r="AF33" i="4"/>
  <c r="AG53" i="4"/>
  <c r="AF53" i="4"/>
  <c r="AN85" i="4"/>
  <c r="AO85" i="4"/>
  <c r="AF79" i="4"/>
  <c r="AG79" i="4"/>
  <c r="AG77" i="4"/>
  <c r="AF77" i="4"/>
  <c r="AI54" i="4"/>
  <c r="AJ54" i="4"/>
  <c r="AG40" i="4"/>
  <c r="AF40" i="4"/>
  <c r="AJ91" i="4"/>
  <c r="AI91" i="4"/>
  <c r="AO37" i="4"/>
  <c r="AN37" i="4"/>
  <c r="AG37" i="4"/>
  <c r="AF37" i="4"/>
  <c r="AI8" i="4"/>
  <c r="AJ8" i="4"/>
  <c r="AF6" i="4"/>
  <c r="AG6" i="4"/>
  <c r="AN90" i="4"/>
  <c r="AO90" i="4"/>
  <c r="AA31" i="4"/>
  <c r="DB31" i="4" s="1"/>
  <c r="AB31" i="4"/>
  <c r="AF48" i="4"/>
  <c r="AG48" i="4"/>
  <c r="AI83" i="4"/>
  <c r="AJ83" i="4"/>
  <c r="AN50" i="4"/>
  <c r="AO50" i="4"/>
  <c r="AB86" i="4"/>
  <c r="AA86" i="4"/>
  <c r="AI19" i="4"/>
  <c r="AJ19" i="4"/>
  <c r="AG25" i="4"/>
  <c r="AF25" i="4"/>
  <c r="AN32" i="4"/>
  <c r="AO32" i="4"/>
  <c r="AA32" i="4"/>
  <c r="DB32" i="4" s="1"/>
  <c r="AB32" i="4"/>
  <c r="AN70" i="4"/>
  <c r="AO70" i="4"/>
  <c r="AO75" i="4"/>
  <c r="AN75" i="4"/>
  <c r="AI20" i="4"/>
  <c r="AJ20" i="4"/>
  <c r="AN47" i="4"/>
  <c r="AO47" i="4"/>
  <c r="AJ13" i="4"/>
  <c r="AI13" i="4"/>
  <c r="AO78" i="4"/>
  <c r="AN78" i="4"/>
  <c r="AI76" i="4"/>
  <c r="AJ76" i="4"/>
  <c r="AI37" i="4"/>
  <c r="AJ37" i="4"/>
  <c r="AB45" i="4"/>
  <c r="AA45" i="4"/>
  <c r="DB45" i="4" s="1"/>
  <c r="AJ64" i="4"/>
  <c r="AI64" i="4"/>
  <c r="AA61" i="4"/>
  <c r="AB61" i="4"/>
  <c r="AF15" i="4"/>
  <c r="AG15" i="4"/>
  <c r="AO18" i="4"/>
  <c r="AN18" i="4"/>
  <c r="AF29" i="4"/>
  <c r="AG29" i="4"/>
  <c r="AJ62" i="4"/>
  <c r="AI62" i="4"/>
  <c r="AG89" i="4"/>
  <c r="AF89" i="4"/>
  <c r="AB21" i="4"/>
  <c r="AA21" i="4"/>
  <c r="DB21" i="4" s="1"/>
  <c r="AF73" i="4"/>
  <c r="AG73" i="4"/>
  <c r="AJ36" i="4"/>
  <c r="AI36" i="4"/>
  <c r="AA36" i="4"/>
  <c r="DB36" i="4" s="1"/>
  <c r="AB36" i="4"/>
  <c r="AI67" i="4"/>
  <c r="AJ67" i="4"/>
  <c r="AA72" i="4"/>
  <c r="AB72" i="4"/>
  <c r="AO31" i="4"/>
  <c r="AN31" i="4"/>
  <c r="AF71" i="4"/>
  <c r="AG71" i="4"/>
  <c r="AF87" i="4"/>
  <c r="AG87" i="4"/>
  <c r="AA83" i="4"/>
  <c r="AB83" i="4"/>
  <c r="AJ34" i="4"/>
  <c r="AI34" i="4"/>
  <c r="AB65" i="4"/>
  <c r="AA65" i="4"/>
  <c r="AO5" i="4"/>
  <c r="AN5" i="4"/>
  <c r="AI46" i="4"/>
  <c r="AJ46" i="4"/>
  <c r="AO46" i="4"/>
  <c r="AN46" i="4"/>
  <c r="AJ82" i="4"/>
  <c r="AI82" i="4"/>
  <c r="AF30" i="4"/>
  <c r="AG30" i="4"/>
  <c r="B30" i="1"/>
  <c r="B85" i="1"/>
  <c r="AG14" i="4"/>
  <c r="AF14" i="4"/>
  <c r="AN43" i="4"/>
  <c r="AO43" i="4"/>
  <c r="AG43" i="4"/>
  <c r="AF43" i="4"/>
  <c r="AN84" i="4"/>
  <c r="AO84" i="4"/>
  <c r="AB77" i="4"/>
  <c r="AA77" i="4"/>
  <c r="AB40" i="4"/>
  <c r="AA40" i="4"/>
  <c r="DB40" i="4" s="1"/>
  <c r="AF64" i="4"/>
  <c r="AG64" i="4"/>
  <c r="AA17" i="4"/>
  <c r="DB17" i="4" s="1"/>
  <c r="AB17" i="4"/>
  <c r="AA8" i="4"/>
  <c r="DB8" i="4" s="1"/>
  <c r="AB8" i="4"/>
  <c r="AI15" i="4"/>
  <c r="AJ15" i="4"/>
  <c r="AN62" i="4"/>
  <c r="AO62" i="4"/>
  <c r="AB7" i="4"/>
  <c r="AA7" i="4"/>
  <c r="DB7" i="4" s="1"/>
  <c r="AF21" i="4"/>
  <c r="AG21" i="4"/>
  <c r="AB73" i="4"/>
  <c r="AA73" i="4"/>
  <c r="AF28" i="4"/>
  <c r="AG28" i="4"/>
  <c r="AB22" i="4"/>
  <c r="AA22" i="4"/>
  <c r="DB22" i="4" s="1"/>
  <c r="AJ66" i="4"/>
  <c r="AI66" i="4"/>
  <c r="AN11" i="4"/>
  <c r="AO11" i="4"/>
  <c r="AO48" i="4"/>
  <c r="AN48" i="4"/>
  <c r="AO83" i="4"/>
  <c r="AN83" i="4"/>
  <c r="AA68" i="4"/>
  <c r="AB68" i="4"/>
  <c r="AN25" i="4"/>
  <c r="AO25" i="4"/>
  <c r="AO41" i="4"/>
  <c r="AN41" i="4"/>
  <c r="AO51" i="4"/>
  <c r="AN51" i="4"/>
  <c r="AJ32" i="4"/>
  <c r="AI32" i="4"/>
  <c r="AO93" i="4"/>
  <c r="AN93" i="4"/>
  <c r="AF35" i="4"/>
  <c r="AG35" i="4"/>
  <c r="AF44" i="4"/>
  <c r="AG44" i="4"/>
  <c r="AJ26" i="4"/>
  <c r="AI26" i="4"/>
  <c r="AN42" i="4"/>
  <c r="AO42" i="4"/>
  <c r="AA5" i="4"/>
  <c r="DB5" i="4" s="1"/>
  <c r="AB5" i="4"/>
  <c r="AB46" i="4"/>
  <c r="AA46" i="4"/>
  <c r="DB46" i="4" s="1"/>
  <c r="AA82" i="4"/>
  <c r="AB82" i="4"/>
  <c r="AN33" i="4"/>
  <c r="AO33" i="4"/>
  <c r="B80" i="1"/>
  <c r="BK9" i="4"/>
  <c r="BI9" i="4"/>
  <c r="DF9" i="4"/>
  <c r="BJ9" i="4"/>
  <c r="B53" i="1"/>
  <c r="AB79" i="4"/>
  <c r="AA79" i="4"/>
  <c r="AA47" i="4"/>
  <c r="DB47" i="4" s="1"/>
  <c r="AB47" i="4"/>
  <c r="AJ47" i="4"/>
  <c r="AI47" i="4"/>
  <c r="AA16" i="4"/>
  <c r="DB16" i="4" s="1"/>
  <c r="AB16" i="4"/>
  <c r="AG27" i="4"/>
  <c r="AF27" i="4"/>
  <c r="AA54" i="4"/>
  <c r="DB54" i="4" s="1"/>
  <c r="AB54" i="4"/>
  <c r="AJ88" i="4"/>
  <c r="AI88" i="4"/>
  <c r="AB91" i="4"/>
  <c r="AA91" i="4"/>
  <c r="AO91" i="4"/>
  <c r="AN91" i="4"/>
  <c r="AB64" i="4"/>
  <c r="AA64" i="4"/>
  <c r="AN17" i="4"/>
  <c r="AO17" i="4"/>
  <c r="AN15" i="4"/>
  <c r="AO15" i="4"/>
  <c r="AI7" i="4"/>
  <c r="AJ7" i="4"/>
  <c r="AN73" i="4"/>
  <c r="AO73" i="4"/>
  <c r="AF81" i="4"/>
  <c r="AG81" i="4"/>
  <c r="AF90" i="4"/>
  <c r="AG90" i="4"/>
  <c r="AO67" i="4"/>
  <c r="AN67" i="4"/>
  <c r="AB52" i="4"/>
  <c r="AA52" i="4"/>
  <c r="DB52" i="4" s="1"/>
  <c r="AG52" i="4"/>
  <c r="AF52" i="4"/>
  <c r="AF22" i="4"/>
  <c r="AG22" i="4"/>
  <c r="AF66" i="4"/>
  <c r="AG66" i="4"/>
  <c r="AA48" i="4"/>
  <c r="DB48" i="4" s="1"/>
  <c r="AB48" i="4"/>
  <c r="AA71" i="4"/>
  <c r="AB71" i="4"/>
  <c r="AI49" i="4"/>
  <c r="AJ49" i="4"/>
  <c r="AJ41" i="4"/>
  <c r="AI41" i="4"/>
  <c r="AJ70" i="4"/>
  <c r="AI70" i="4"/>
  <c r="AJ75" i="4"/>
  <c r="AI75" i="4"/>
  <c r="AB34" i="4"/>
  <c r="AA34" i="4"/>
  <c r="DB34" i="4" s="1"/>
  <c r="AB80" i="4"/>
  <c r="AA80" i="4"/>
  <c r="AA20" i="4"/>
  <c r="DB20" i="4" s="1"/>
  <c r="AB20" i="4"/>
  <c r="AN20" i="4"/>
  <c r="AO20" i="4"/>
  <c r="AB27" i="4"/>
  <c r="AA27" i="4"/>
  <c r="DB27" i="4" s="1"/>
  <c r="AJ78" i="4"/>
  <c r="AI78" i="4"/>
  <c r="AO45" i="4"/>
  <c r="AN45" i="4"/>
  <c r="AF17" i="4"/>
  <c r="AG17" i="4"/>
  <c r="AO7" i="4"/>
  <c r="AN7" i="4"/>
  <c r="AA89" i="4"/>
  <c r="AB89" i="4"/>
  <c r="AO21" i="4"/>
  <c r="AN21" i="4"/>
  <c r="AO36" i="4"/>
  <c r="AN36" i="4"/>
  <c r="AA67" i="4"/>
  <c r="AB67" i="4"/>
  <c r="AO72" i="4"/>
  <c r="AN72" i="4"/>
  <c r="AI87" i="4"/>
  <c r="AJ87" i="4"/>
  <c r="AG50" i="4"/>
  <c r="AF50" i="4"/>
  <c r="AJ50" i="4"/>
  <c r="AI50" i="4"/>
  <c r="AG19" i="4"/>
  <c r="AF19" i="4"/>
  <c r="AF51" i="4"/>
  <c r="AG51" i="4"/>
  <c r="AF32" i="4"/>
  <c r="AG32" i="4"/>
  <c r="AA44" i="4"/>
  <c r="DB44" i="4" s="1"/>
  <c r="AB44" i="4"/>
  <c r="AF92" i="4"/>
  <c r="AG92" i="4"/>
  <c r="AN92" i="4"/>
  <c r="AO92" i="4"/>
  <c r="AF75" i="4"/>
  <c r="AG75" i="4"/>
  <c r="AA12" i="4"/>
  <c r="DB12" i="4" s="1"/>
  <c r="AB12" i="4"/>
  <c r="AN12" i="4"/>
  <c r="AO12" i="4"/>
  <c r="AF80" i="4"/>
  <c r="AG80" i="4"/>
  <c r="AO30" i="4"/>
  <c r="AN30" i="4"/>
  <c r="AF20" i="4"/>
  <c r="AG20" i="4"/>
  <c r="AF85" i="4"/>
  <c r="AG85" i="4"/>
  <c r="AI14" i="4"/>
  <c r="AJ14" i="4"/>
  <c r="AJ74" i="4"/>
  <c r="AI74" i="4"/>
  <c r="AN74" i="4"/>
  <c r="AO74" i="4"/>
  <c r="AA84" i="4"/>
  <c r="AB84" i="4"/>
  <c r="AF59" i="4"/>
  <c r="AG59" i="4"/>
  <c r="AN81" i="4"/>
  <c r="AO81" i="4"/>
  <c r="AJ22" i="4"/>
  <c r="AI22" i="4"/>
  <c r="AJ11" i="4"/>
  <c r="AI11" i="4"/>
  <c r="AA87" i="4"/>
  <c r="AB87" i="4"/>
  <c r="AI86" i="4"/>
  <c r="AJ86" i="4"/>
  <c r="AI25" i="4"/>
  <c r="AJ25" i="4"/>
  <c r="AB41" i="4"/>
  <c r="AA41" i="4"/>
  <c r="DB41" i="4" s="1"/>
  <c r="AI51" i="4"/>
  <c r="AJ51" i="4"/>
  <c r="AJ93" i="4"/>
  <c r="AI93" i="4"/>
  <c r="AO35" i="4"/>
  <c r="AN35" i="4"/>
  <c r="AJ44" i="4"/>
  <c r="AI44" i="4"/>
  <c r="AB70" i="4"/>
  <c r="AA70" i="4"/>
  <c r="AJ5" i="4"/>
  <c r="AI5" i="4"/>
  <c r="AI30" i="4"/>
  <c r="AJ30" i="4"/>
  <c r="B46" i="1"/>
  <c r="AJ79" i="4"/>
  <c r="AI79" i="4"/>
  <c r="AA74" i="4"/>
  <c r="AB74" i="4"/>
  <c r="AN13" i="4"/>
  <c r="AO13" i="4"/>
  <c r="AI16" i="4"/>
  <c r="AJ16" i="4"/>
  <c r="AB88" i="4"/>
  <c r="AA88" i="4"/>
  <c r="AG91" i="4"/>
  <c r="AF91" i="4"/>
  <c r="AO8" i="4"/>
  <c r="AN8" i="4"/>
  <c r="AA18" i="4"/>
  <c r="DB18" i="4" s="1"/>
  <c r="AB18" i="4"/>
  <c r="AF57" i="4"/>
  <c r="AG57" i="4"/>
  <c r="AI6" i="4"/>
  <c r="AJ6" i="4"/>
  <c r="AG38" i="4"/>
  <c r="AF38" i="4"/>
  <c r="AJ69" i="4"/>
  <c r="AI69" i="4"/>
  <c r="AA69" i="4"/>
  <c r="AB69" i="4"/>
  <c r="AB90" i="4"/>
  <c r="AA90" i="4"/>
  <c r="AF11" i="4"/>
  <c r="AG11" i="4"/>
  <c r="AB24" i="4"/>
  <c r="AA24" i="4"/>
  <c r="DB24" i="4" s="1"/>
  <c r="AO87" i="4"/>
  <c r="AN87" i="4"/>
  <c r="AN86" i="4"/>
  <c r="AO86" i="4"/>
  <c r="AO49" i="4"/>
  <c r="AN49" i="4"/>
  <c r="AB63" i="4"/>
  <c r="AA63" i="4"/>
  <c r="AB35" i="4"/>
  <c r="AA35" i="4"/>
  <c r="DB35" i="4" s="1"/>
  <c r="AJ35" i="4"/>
  <c r="AI35" i="4"/>
  <c r="AI92" i="4"/>
  <c r="AJ92" i="4"/>
  <c r="AJ56" i="4"/>
  <c r="AI56" i="4"/>
  <c r="AJ39" i="4"/>
  <c r="AI39" i="4"/>
  <c r="AN80" i="4"/>
  <c r="AO80" i="4"/>
  <c r="AB53" i="4"/>
  <c r="AA53" i="4"/>
  <c r="DB53" i="4" s="1"/>
  <c r="AI53" i="4"/>
  <c r="AJ53" i="4"/>
  <c r="B5" i="1"/>
  <c r="AB14" i="4"/>
  <c r="AA14" i="4"/>
  <c r="DB14" i="4" s="1"/>
  <c r="AG74" i="4"/>
  <c r="AF74" i="4"/>
  <c r="AI27" i="4"/>
  <c r="AJ27" i="4"/>
  <c r="AB78" i="4"/>
  <c r="AA78" i="4"/>
  <c r="AJ45" i="4"/>
  <c r="AI45" i="4"/>
  <c r="AF61" i="4"/>
  <c r="AG61" i="4"/>
  <c r="AG62" i="4"/>
  <c r="AF62" i="4"/>
  <c r="AN57" i="4"/>
  <c r="AO57" i="4"/>
  <c r="AG7" i="4"/>
  <c r="AF7" i="4"/>
  <c r="AN89" i="4"/>
  <c r="AO89" i="4"/>
  <c r="AB6" i="4"/>
  <c r="AA6" i="4"/>
  <c r="DB6" i="4" s="1"/>
  <c r="AB38" i="4"/>
  <c r="AA38" i="4"/>
  <c r="DB38" i="4" s="1"/>
  <c r="AI90" i="4"/>
  <c r="AJ90" i="4"/>
  <c r="AN28" i="4"/>
  <c r="AO28" i="4"/>
  <c r="AO22" i="4"/>
  <c r="AN22" i="4"/>
  <c r="AA66" i="4"/>
  <c r="AB66" i="4"/>
  <c r="AI31" i="4"/>
  <c r="AJ31" i="4"/>
  <c r="AJ71" i="4"/>
  <c r="AI71" i="4"/>
  <c r="AJ68" i="4"/>
  <c r="AI68" i="4"/>
  <c r="AG86" i="4"/>
  <c r="AF86" i="4"/>
  <c r="AB19" i="4"/>
  <c r="AA19" i="4"/>
  <c r="DB19" i="4" s="1"/>
  <c r="AO63" i="4"/>
  <c r="AN63" i="4"/>
  <c r="AA93" i="4"/>
  <c r="AB93" i="4"/>
  <c r="AG93" i="4"/>
  <c r="AF93" i="4"/>
  <c r="AO26" i="4"/>
  <c r="AN26" i="4"/>
  <c r="AB75" i="4"/>
  <c r="AA75" i="4"/>
  <c r="AG12" i="4"/>
  <c r="AF12" i="4"/>
  <c r="AG5" i="4"/>
  <c r="AF5" i="4"/>
  <c r="AO39" i="4"/>
  <c r="AN39" i="4"/>
  <c r="AN82" i="4"/>
  <c r="AO82" i="4"/>
  <c r="B39" i="1"/>
  <c r="AO79" i="4"/>
  <c r="AN79" i="4"/>
  <c r="AN14" i="4"/>
  <c r="AO14" i="4"/>
  <c r="AB43" i="4"/>
  <c r="AA43" i="4"/>
  <c r="DB43" i="4" s="1"/>
  <c r="AG47" i="4"/>
  <c r="AF47" i="4"/>
  <c r="AA13" i="4"/>
  <c r="DB13" i="4" s="1"/>
  <c r="AB13" i="4"/>
  <c r="AF16" i="4"/>
  <c r="AG16" i="4"/>
  <c r="AJ77" i="4"/>
  <c r="AI77" i="4"/>
  <c r="AB37" i="4"/>
  <c r="AA37" i="4"/>
  <c r="DB37" i="4" s="1"/>
  <c r="AO64" i="4"/>
  <c r="AN64" i="4"/>
  <c r="AI61" i="4"/>
  <c r="AJ61" i="4"/>
  <c r="AA15" i="4"/>
  <c r="DB15" i="4" s="1"/>
  <c r="AB15" i="4"/>
  <c r="AF18" i="4"/>
  <c r="AG18" i="4"/>
  <c r="AI18" i="4"/>
  <c r="AJ18" i="4"/>
  <c r="AA57" i="4"/>
  <c r="AB57" i="4"/>
  <c r="AJ89" i="4"/>
  <c r="AI89" i="4"/>
  <c r="AJ73" i="4"/>
  <c r="AI73" i="4"/>
  <c r="AN38" i="4"/>
  <c r="AO38" i="4"/>
  <c r="AO69" i="4"/>
  <c r="AN69" i="4"/>
  <c r="AA81" i="4"/>
  <c r="AB81" i="4"/>
  <c r="AA11" i="4"/>
  <c r="DB11" i="4" s="1"/>
  <c r="AB11" i="4"/>
  <c r="AG31" i="4"/>
  <c r="AF31" i="4"/>
  <c r="AO24" i="4"/>
  <c r="AN24" i="4"/>
  <c r="AN71" i="4"/>
  <c r="AO71" i="4"/>
  <c r="AO68" i="4"/>
  <c r="AN68" i="4"/>
  <c r="AF68" i="4"/>
  <c r="AG68" i="4"/>
  <c r="AG63" i="4"/>
  <c r="AF63" i="4"/>
  <c r="AA51" i="4"/>
  <c r="DB51" i="4" s="1"/>
  <c r="AB51" i="4"/>
  <c r="AF26" i="4"/>
  <c r="AG26" i="4"/>
  <c r="AF42" i="4"/>
  <c r="AG42" i="4"/>
  <c r="AB92" i="4"/>
  <c r="AA92" i="4"/>
  <c r="AG70" i="4"/>
  <c r="AF70" i="4"/>
  <c r="AA56" i="4"/>
  <c r="AB56" i="4"/>
  <c r="AF56" i="4"/>
  <c r="AG56" i="4"/>
  <c r="AJ12" i="4"/>
  <c r="AI12" i="4"/>
  <c r="AI65" i="4"/>
  <c r="AJ65" i="4"/>
  <c r="AF82" i="4"/>
  <c r="AG82" i="4"/>
  <c r="AB30" i="4"/>
  <c r="AA30" i="4"/>
  <c r="DB30" i="4" s="1"/>
  <c r="AB33" i="4"/>
  <c r="AA33" i="4"/>
  <c r="DB33" i="4" s="1"/>
  <c r="AN53" i="4"/>
  <c r="AO53" i="4"/>
  <c r="AA85" i="4"/>
  <c r="AB85" i="4"/>
  <c r="AI43" i="4"/>
  <c r="AJ43" i="4"/>
  <c r="AF78" i="4"/>
  <c r="AG78" i="4"/>
  <c r="AJ40" i="4"/>
  <c r="AI40" i="4"/>
  <c r="AF88" i="4"/>
  <c r="AG88" i="4"/>
  <c r="AG76" i="4"/>
  <c r="AF76" i="4"/>
  <c r="AN61" i="4"/>
  <c r="AO61" i="4"/>
  <c r="AG8" i="4"/>
  <c r="AF8" i="4"/>
  <c r="AA59" i="4"/>
  <c r="AB59" i="4"/>
  <c r="AI57" i="4"/>
  <c r="AJ57" i="4"/>
  <c r="AF36" i="4"/>
  <c r="AG36" i="4"/>
  <c r="AG69" i="4"/>
  <c r="AF69" i="4"/>
  <c r="AI52" i="4"/>
  <c r="AJ52" i="4"/>
  <c r="AB28" i="4"/>
  <c r="AA28" i="4"/>
  <c r="DB28" i="4" s="1"/>
  <c r="AN19" i="4"/>
  <c r="AO19" i="4"/>
  <c r="AG49" i="4"/>
  <c r="AF49" i="4"/>
  <c r="AI42" i="4"/>
  <c r="AJ42" i="4"/>
  <c r="AF34" i="4"/>
  <c r="AG34" i="4"/>
  <c r="AO56" i="4"/>
  <c r="AN56" i="4"/>
  <c r="AB39" i="4"/>
  <c r="AA39" i="4"/>
  <c r="DB39" i="4" s="1"/>
  <c r="AJ85" i="4"/>
  <c r="AI85" i="4"/>
  <c r="BY47" i="4" a="1"/>
  <c r="BY47" i="4" s="1"/>
  <c r="BZ47" i="4" a="1"/>
  <c r="BZ47" i="4" s="1"/>
  <c r="BX47" i="4" s="1" a="1"/>
  <c r="BX47" i="4" s="1"/>
  <c r="C77" i="1"/>
  <c r="AI75" i="27"/>
  <c r="AE58" i="27"/>
  <c r="AF81" i="27"/>
  <c r="AE82" i="27"/>
  <c r="AJ66" i="27"/>
  <c r="AF79" i="27"/>
  <c r="AJ81" i="27"/>
  <c r="AF67" i="27"/>
  <c r="AE57" i="27"/>
  <c r="AJ89" i="27"/>
  <c r="AF93" i="27"/>
  <c r="AI74" i="27"/>
  <c r="AF74" i="27"/>
  <c r="AF53" i="27"/>
  <c r="I28" i="27"/>
  <c r="AE94" i="27"/>
  <c r="AI63" i="27"/>
  <c r="AF58" i="27"/>
  <c r="AE86" i="27"/>
  <c r="AF72" i="27"/>
  <c r="AF82" i="27"/>
  <c r="AF94" i="27"/>
  <c r="AF43" i="27"/>
  <c r="AE64" i="27"/>
  <c r="AI60" i="27"/>
  <c r="AF95" i="27"/>
  <c r="AJ64" i="27"/>
  <c r="AI93" i="27"/>
  <c r="AF83" i="27"/>
  <c r="AF80" i="27"/>
  <c r="AF96" i="27"/>
  <c r="AJ69" i="27"/>
  <c r="AJ91" i="27"/>
  <c r="AJ73" i="27"/>
  <c r="AE54" i="27"/>
  <c r="AE75" i="27"/>
  <c r="AI82" i="27"/>
  <c r="I27" i="27"/>
  <c r="AI98" i="27"/>
  <c r="AE47" i="27"/>
  <c r="AE62" i="27"/>
  <c r="AE98" i="27"/>
  <c r="AJ78" i="27"/>
  <c r="AJ65" i="27"/>
  <c r="AJ95" i="27"/>
  <c r="AF55" i="27"/>
  <c r="AJ96" i="27"/>
  <c r="AJ71" i="27"/>
  <c r="AF57" i="27"/>
  <c r="AI62" i="27"/>
  <c r="AI86" i="27"/>
  <c r="AE89" i="27"/>
  <c r="AE90" i="27"/>
  <c r="AJ60" i="27"/>
  <c r="AF47" i="27"/>
  <c r="AE92" i="27"/>
  <c r="AE67" i="27"/>
  <c r="AE93" i="27"/>
  <c r="AE77" i="27"/>
  <c r="AE87" i="27"/>
  <c r="AE79" i="27"/>
  <c r="AI69" i="27"/>
  <c r="AF92" i="27"/>
  <c r="AF77" i="27"/>
  <c r="I23" i="27"/>
  <c r="AJ92" i="27"/>
  <c r="AE52" i="27"/>
  <c r="AJ90" i="27"/>
  <c r="D16" i="27"/>
  <c r="Q20" i="27"/>
  <c r="AE69" i="27"/>
  <c r="AI97" i="27"/>
  <c r="AF44" i="27"/>
  <c r="AI64" i="27"/>
  <c r="AJ87" i="27"/>
  <c r="AJ83" i="27"/>
  <c r="AE61" i="27"/>
  <c r="AI79" i="27"/>
  <c r="AJ82" i="27"/>
  <c r="AF87" i="27"/>
  <c r="AI72" i="27"/>
  <c r="AI65" i="27"/>
  <c r="AE60" i="27"/>
  <c r="AI67" i="27"/>
  <c r="AJ62" i="27"/>
  <c r="AE66" i="27"/>
  <c r="AJ86" i="27"/>
  <c r="AE99" i="27"/>
  <c r="AJ74" i="27"/>
  <c r="AI94" i="27"/>
  <c r="AJ72" i="27"/>
  <c r="AF75" i="27"/>
  <c r="AI80" i="27"/>
  <c r="AE48" i="27"/>
  <c r="AI90" i="27"/>
  <c r="AJ75" i="27"/>
  <c r="AI87" i="27"/>
  <c r="AE44" i="27"/>
  <c r="AJ76" i="27"/>
  <c r="AJ79" i="27"/>
  <c r="AE43" i="27"/>
  <c r="AE46" i="27"/>
  <c r="AJ84" i="27"/>
  <c r="AI92" i="27"/>
  <c r="AJ98" i="27"/>
  <c r="AG22" i="27" a="1"/>
  <c r="AJ80" i="27"/>
  <c r="AF52" i="27"/>
  <c r="AI61" i="27"/>
  <c r="AE76" i="27"/>
  <c r="AF49" i="27"/>
  <c r="AJ63" i="27"/>
  <c r="I30" i="27"/>
  <c r="AI71" i="27"/>
  <c r="AE45" i="27"/>
  <c r="AF85" i="27"/>
  <c r="AF56" i="27"/>
  <c r="AI96" i="27"/>
  <c r="AJ59" i="27"/>
  <c r="AF64" i="27"/>
  <c r="AE65" i="27"/>
  <c r="AE78" i="27"/>
  <c r="AF59" i="27"/>
  <c r="AI77" i="27"/>
  <c r="AE95" i="27"/>
  <c r="AE63" i="27"/>
  <c r="AI85" i="27"/>
  <c r="AF86" i="27"/>
  <c r="AJ85" i="27"/>
  <c r="AJ94" i="27"/>
  <c r="AJ70" i="27"/>
  <c r="AE51" i="27"/>
  <c r="AI95" i="27"/>
  <c r="AE59" i="27"/>
  <c r="I24" i="27"/>
  <c r="AE73" i="27"/>
  <c r="B19" i="27" a="1"/>
  <c r="B19" i="27" s="1"/>
  <c r="AF45" i="27"/>
  <c r="AE96" i="27"/>
  <c r="AE85" i="27"/>
  <c r="AF71" i="27"/>
  <c r="AI76" i="27"/>
  <c r="AI70" i="27"/>
  <c r="AF61" i="27"/>
  <c r="I25" i="27"/>
  <c r="AI91" i="27"/>
  <c r="AI66" i="27"/>
  <c r="AE72" i="27"/>
  <c r="AI84" i="27"/>
  <c r="AI89" i="27"/>
  <c r="AF73" i="27"/>
  <c r="AF70" i="27"/>
  <c r="AI73" i="27"/>
  <c r="AF68" i="27"/>
  <c r="AE80" i="27"/>
  <c r="AF62" i="27"/>
  <c r="AF90" i="27"/>
  <c r="AJ93" i="27"/>
  <c r="AE71" i="27"/>
  <c r="AJ99" i="27"/>
  <c r="AE88" i="27"/>
  <c r="AE74" i="27"/>
  <c r="I26" i="27"/>
  <c r="AF84" i="27"/>
  <c r="AF50" i="27"/>
  <c r="AE68" i="27"/>
  <c r="AF69" i="27"/>
  <c r="I22" i="27"/>
  <c r="AF78" i="27"/>
  <c r="AC22" i="27" a="1"/>
  <c r="AF76" i="27"/>
  <c r="AJ61" i="27"/>
  <c r="AF65" i="27"/>
  <c r="AJ77" i="27"/>
  <c r="AF60" i="27"/>
  <c r="AF66" i="27"/>
  <c r="AE97" i="27"/>
  <c r="AF54" i="27"/>
  <c r="AE83" i="27"/>
  <c r="AF88" i="27"/>
  <c r="AE81" i="27"/>
  <c r="AF48" i="27"/>
  <c r="AI78" i="27"/>
  <c r="AI88" i="27"/>
  <c r="AF51" i="27"/>
  <c r="AF98" i="27"/>
  <c r="I21" i="27"/>
  <c r="AF89" i="27"/>
  <c r="AE50" i="27"/>
  <c r="I29" i="27"/>
  <c r="AI59" i="27"/>
  <c r="AE55" i="27"/>
  <c r="AJ88" i="27"/>
  <c r="AE49" i="27"/>
  <c r="AF46" i="27"/>
  <c r="AF97" i="27"/>
  <c r="AJ97" i="27"/>
  <c r="AI68" i="27"/>
  <c r="AF99" i="27"/>
  <c r="AJ67" i="27"/>
  <c r="AI99" i="27"/>
  <c r="AF63" i="27"/>
  <c r="AE56" i="27"/>
  <c r="AC19" i="27"/>
  <c r="AE84" i="27"/>
  <c r="AE91" i="27"/>
  <c r="AI81" i="27"/>
  <c r="AF91" i="27"/>
  <c r="AE53" i="27"/>
  <c r="AI83" i="27"/>
  <c r="AJ68" i="27"/>
  <c r="AE70" i="27"/>
  <c r="BZ43" i="4" a="1"/>
  <c r="BZ43" i="4" s="1"/>
  <c r="BX43" i="4" s="1" a="1"/>
  <c r="BX43" i="4" s="1"/>
  <c r="BY43" i="4" a="1"/>
  <c r="BY43" i="4" s="1"/>
  <c r="M74" i="4"/>
  <c r="A293" i="13"/>
  <c r="AX193" i="13"/>
  <c r="C84" i="1"/>
  <c r="K77" i="4"/>
  <c r="A78" i="4"/>
  <c r="AX1113" i="13"/>
  <c r="A1212" i="13"/>
  <c r="M91" i="4"/>
  <c r="AX120" i="13"/>
  <c r="A220" i="13"/>
  <c r="BS76" i="4"/>
  <c r="BA45" i="4" a="1"/>
  <c r="BA45" i="4" s="1"/>
  <c r="BB45" i="4" s="1"/>
  <c r="AV147" i="13" s="1"/>
  <c r="B45" i="4"/>
  <c r="E83" i="15" s="1"/>
  <c r="AZ64" i="4"/>
  <c r="B8" i="4"/>
  <c r="BA8" i="4" a="1"/>
  <c r="BA8" i="4" s="1"/>
  <c r="BB8" i="4" s="1"/>
  <c r="AV110" i="13" s="1"/>
  <c r="J498" i="15"/>
  <c r="J621" i="15"/>
  <c r="J542" i="15"/>
  <c r="J588" i="15"/>
  <c r="J492" i="15"/>
  <c r="J596" i="15"/>
  <c r="J512" i="15"/>
  <c r="J477" i="15"/>
  <c r="J519" i="15"/>
  <c r="J480" i="15"/>
  <c r="J504" i="15"/>
  <c r="J577" i="15"/>
  <c r="J509" i="15"/>
  <c r="J536" i="15"/>
  <c r="J615" i="15"/>
  <c r="J516" i="15"/>
  <c r="AL14" i="71"/>
  <c r="AX15" i="4"/>
  <c r="CU15" i="4"/>
  <c r="CV15" i="4" s="1"/>
  <c r="AL30" i="71"/>
  <c r="AM38" i="71"/>
  <c r="AL4" i="71"/>
  <c r="AL22" i="71"/>
  <c r="AL5" i="71"/>
  <c r="AL10" i="71"/>
  <c r="AL7" i="71"/>
  <c r="AL32" i="71"/>
  <c r="AL36" i="71"/>
  <c r="AL19" i="71"/>
  <c r="AL8" i="71"/>
  <c r="AL12" i="71"/>
  <c r="AL20" i="71"/>
  <c r="AL23" i="71"/>
  <c r="AL29" i="71"/>
  <c r="AL31" i="71"/>
  <c r="AL21" i="71"/>
  <c r="AL34" i="71"/>
  <c r="AL9" i="71"/>
  <c r="AL33" i="71"/>
  <c r="AL28" i="71"/>
  <c r="AL11" i="71"/>
  <c r="AL15" i="71"/>
  <c r="AL18" i="71"/>
  <c r="AL6" i="71"/>
  <c r="AL24" i="71"/>
  <c r="AL17" i="71"/>
  <c r="AL26" i="71"/>
  <c r="AL27" i="71"/>
  <c r="AL16" i="71"/>
  <c r="AL35" i="71"/>
  <c r="AL13" i="71"/>
  <c r="AL25" i="71"/>
  <c r="Z94" i="72"/>
  <c r="C18" i="1"/>
  <c r="A59" i="4"/>
  <c r="BZ59" i="4" a="1"/>
  <c r="BZ59" i="4" s="1"/>
  <c r="BX59" i="4" s="1" a="1"/>
  <c r="BX59" i="4" s="1"/>
  <c r="BY59" i="4" a="1"/>
  <c r="BY59" i="4" s="1"/>
  <c r="M57" i="4"/>
  <c r="AS7" i="4"/>
  <c r="AV609" i="13" s="1"/>
  <c r="AX1136" i="13"/>
  <c r="A1235" i="13"/>
  <c r="C89" i="1"/>
  <c r="J581" i="15"/>
  <c r="BC23" i="4" a="1"/>
  <c r="BC23" i="4" s="1"/>
  <c r="C23" i="4"/>
  <c r="I23" i="4"/>
  <c r="BJ29" i="71" s="1"/>
  <c r="M23" i="4"/>
  <c r="K23" i="4"/>
  <c r="D23" i="1"/>
  <c r="D23" i="4"/>
  <c r="AZ23" i="4"/>
  <c r="A25" i="9"/>
  <c r="BV23" i="4" a="1"/>
  <c r="BV23" i="4" s="1"/>
  <c r="A23" i="4"/>
  <c r="BU23" i="4" a="1"/>
  <c r="BU23" i="4" s="1"/>
  <c r="A23" i="20"/>
  <c r="BS23" i="4"/>
  <c r="J584" i="15"/>
  <c r="EP17" i="71"/>
  <c r="CE10" i="71"/>
  <c r="O58" i="14" a="1"/>
  <c r="O58" i="14" s="1"/>
  <c r="CE6" i="71"/>
  <c r="CW31" i="71"/>
  <c r="CK10" i="71"/>
  <c r="BM12" i="71"/>
  <c r="Y57" i="23" a="1"/>
  <c r="Y57" i="23" s="1"/>
  <c r="Y35" i="23" s="1"/>
  <c r="DU21" i="71"/>
  <c r="CE33" i="71"/>
  <c r="N57" i="23" a="1"/>
  <c r="N57" i="23" s="1"/>
  <c r="N35" i="23" s="1"/>
  <c r="CH26" i="71"/>
  <c r="CZ28" i="71"/>
  <c r="X59" i="14" a="1"/>
  <c r="X59" i="14" s="1"/>
  <c r="BP8" i="71"/>
  <c r="O59" i="23" a="1"/>
  <c r="O59" i="23" s="1"/>
  <c r="EV17" i="71"/>
  <c r="Z202" i="13" a="1"/>
  <c r="Z202" i="13" s="1"/>
  <c r="CX38" i="71"/>
  <c r="DL19" i="71"/>
  <c r="EV21" i="71"/>
  <c r="AI1296" i="13" a="1"/>
  <c r="AI1296" i="13" s="1"/>
  <c r="CW33" i="71"/>
  <c r="DL15" i="71"/>
  <c r="ES33" i="71"/>
  <c r="DX34" i="71"/>
  <c r="BS10" i="71"/>
  <c r="BY25" i="71"/>
  <c r="BP33" i="71"/>
  <c r="CW16" i="71"/>
  <c r="CW26" i="71"/>
  <c r="R16" i="27" a="1"/>
  <c r="R16" i="27" s="1"/>
  <c r="EG18" i="71"/>
  <c r="J642" i="15"/>
  <c r="DU16" i="71"/>
  <c r="Y58" i="23" a="1"/>
  <c r="Y58" i="23" s="1"/>
  <c r="Y36" i="23" s="1"/>
  <c r="CW27" i="71"/>
  <c r="F48" i="14"/>
  <c r="P48" i="14" s="1"/>
  <c r="Z48" i="14" s="1"/>
  <c r="CN15" i="71"/>
  <c r="EN38" i="71"/>
  <c r="BM28" i="71"/>
  <c r="B49" i="14"/>
  <c r="DR23" i="71"/>
  <c r="BV15" i="71"/>
  <c r="CE26" i="71"/>
  <c r="DF21" i="71"/>
  <c r="V59" i="23" a="1"/>
  <c r="V59" i="23" s="1"/>
  <c r="EY6" i="71"/>
  <c r="BM26" i="71"/>
  <c r="DU36" i="71"/>
  <c r="BM16" i="71"/>
  <c r="L57" i="23" a="1"/>
  <c r="L57" i="23" s="1"/>
  <c r="L35" i="23" s="1"/>
  <c r="CH8" i="71"/>
  <c r="EG5" i="71"/>
  <c r="DR17" i="71"/>
  <c r="P58" i="23" a="1"/>
  <c r="P58" i="23" s="1"/>
  <c r="P36" i="23" s="1"/>
  <c r="EV20" i="71"/>
  <c r="ES36" i="71"/>
  <c r="CT14" i="71"/>
  <c r="FC38" i="71"/>
  <c r="J530" i="15"/>
  <c r="J489" i="15"/>
  <c r="DC19" i="71"/>
  <c r="BM5" i="71"/>
  <c r="BM30" i="71"/>
  <c r="ED34" i="71"/>
  <c r="BV9" i="71"/>
  <c r="EV14" i="71"/>
  <c r="EA6" i="71"/>
  <c r="EA17" i="71"/>
  <c r="DU31" i="71"/>
  <c r="ES8" i="71"/>
  <c r="BV36" i="71"/>
  <c r="EG15" i="71"/>
  <c r="J571" i="15"/>
  <c r="CN19" i="71"/>
  <c r="I56" i="14" a="1"/>
  <c r="I56" i="14" s="1"/>
  <c r="B50" i="14"/>
  <c r="DF14" i="71"/>
  <c r="G57" i="14" a="1"/>
  <c r="G57" i="14" s="1"/>
  <c r="B50" i="23"/>
  <c r="CN4" i="71"/>
  <c r="CE25" i="71"/>
  <c r="J529" i="15"/>
  <c r="DC16" i="71"/>
  <c r="EY15" i="71"/>
  <c r="EG6" i="71"/>
  <c r="DC34" i="71"/>
  <c r="U59" i="14" a="1"/>
  <c r="U59" i="14" s="1"/>
  <c r="DF33" i="71"/>
  <c r="FB28" i="71"/>
  <c r="U57" i="14" a="1"/>
  <c r="U57" i="14" s="1"/>
  <c r="CK16" i="71"/>
  <c r="X56" i="14" a="1"/>
  <c r="X56" i="14" s="1"/>
  <c r="CH22" i="71"/>
  <c r="DC25" i="71"/>
  <c r="BS19" i="71"/>
  <c r="CB19" i="71"/>
  <c r="DI36" i="71"/>
  <c r="DI33" i="71"/>
  <c r="CQ14" i="71"/>
  <c r="DO14" i="71"/>
  <c r="BP26" i="71"/>
  <c r="CE35" i="71"/>
  <c r="K12" i="27" a="1"/>
  <c r="K12" i="27" s="1"/>
  <c r="T59" i="23" a="1"/>
  <c r="T59" i="23" s="1"/>
  <c r="BP17" i="71"/>
  <c r="J624" i="15"/>
  <c r="DX21" i="71"/>
  <c r="CT8" i="71"/>
  <c r="DX10" i="71"/>
  <c r="BS14" i="71"/>
  <c r="BP14" i="71"/>
  <c r="CB15" i="71"/>
  <c r="EM29" i="71"/>
  <c r="CZ12" i="71"/>
  <c r="FB25" i="71"/>
  <c r="EP33" i="71"/>
  <c r="J496" i="15"/>
  <c r="EM4" i="71"/>
  <c r="AQ1296" i="13" a="1"/>
  <c r="AQ1296" i="13" s="1"/>
  <c r="DR16" i="71"/>
  <c r="DI10" i="71"/>
  <c r="EG12" i="71"/>
  <c r="J554" i="15"/>
  <c r="M56" i="23" a="1"/>
  <c r="M56" i="23" s="1"/>
  <c r="CQ8" i="71"/>
  <c r="CQ33" i="71"/>
  <c r="CQ24" i="71"/>
  <c r="FB14" i="71"/>
  <c r="J617" i="15"/>
  <c r="CQ30" i="71"/>
  <c r="FB31" i="71"/>
  <c r="CE5" i="71"/>
  <c r="J57" i="14" a="1"/>
  <c r="J57" i="14" s="1"/>
  <c r="CE24" i="71"/>
  <c r="DR28" i="71"/>
  <c r="CQ12" i="71"/>
  <c r="BY23" i="71"/>
  <c r="EY13" i="71"/>
  <c r="DU14" i="71"/>
  <c r="DF32" i="71"/>
  <c r="EP9" i="71"/>
  <c r="F45" i="14"/>
  <c r="P45" i="14" s="1"/>
  <c r="Z45" i="14" s="1"/>
  <c r="DO25" i="71"/>
  <c r="DU17" i="71"/>
  <c r="J515" i="15"/>
  <c r="BT38" i="71"/>
  <c r="M58" i="23" a="1"/>
  <c r="M58" i="23" s="1"/>
  <c r="M36" i="23" s="1"/>
  <c r="DL21" i="71"/>
  <c r="FB17" i="71"/>
  <c r="Z56" i="14" a="1"/>
  <c r="Z56" i="14" s="1"/>
  <c r="J525" i="15"/>
  <c r="BP16" i="71"/>
  <c r="CB35" i="71"/>
  <c r="DL18" i="71"/>
  <c r="EM11" i="71"/>
  <c r="BS33" i="71"/>
  <c r="DC24" i="71"/>
  <c r="U57" i="23" a="1"/>
  <c r="U57" i="23" s="1"/>
  <c r="U35" i="23" s="1"/>
  <c r="BV13" i="71"/>
  <c r="J534" i="15"/>
  <c r="ED17" i="71"/>
  <c r="EY28" i="71"/>
  <c r="P57" i="23" a="1"/>
  <c r="P57" i="23" s="1"/>
  <c r="P35" i="23" s="1"/>
  <c r="DR7" i="71"/>
  <c r="CB13" i="71"/>
  <c r="DO21" i="71"/>
  <c r="ED23" i="71"/>
  <c r="DF13" i="71"/>
  <c r="P202" i="13" a="1"/>
  <c r="P202" i="13" s="1"/>
  <c r="DR4" i="71"/>
  <c r="Y56" i="14" a="1"/>
  <c r="Y56" i="14" s="1"/>
  <c r="EV13" i="71"/>
  <c r="CH6" i="71"/>
  <c r="J513" i="15"/>
  <c r="AF1296" i="13" a="1"/>
  <c r="AF1296" i="13" s="1"/>
  <c r="DI28" i="71"/>
  <c r="EV11" i="71"/>
  <c r="FB10" i="71"/>
  <c r="DX15" i="71"/>
  <c r="P59" i="23" a="1"/>
  <c r="P59" i="23" s="1"/>
  <c r="DI5" i="71"/>
  <c r="EP30" i="71"/>
  <c r="BV32" i="71"/>
  <c r="EA24" i="71"/>
  <c r="U58" i="23" a="1"/>
  <c r="U58" i="23" s="1"/>
  <c r="U36" i="23" s="1"/>
  <c r="CH14" i="71"/>
  <c r="CK17" i="71"/>
  <c r="J570" i="15"/>
  <c r="CH24" i="71"/>
  <c r="CE23" i="71"/>
  <c r="ES14" i="71"/>
  <c r="CW13" i="71"/>
  <c r="BM25" i="71"/>
  <c r="L59" i="23" a="1"/>
  <c r="L59" i="23" s="1"/>
  <c r="EM33" i="71"/>
  <c r="R58" i="23" a="1"/>
  <c r="R58" i="23" s="1"/>
  <c r="R36" i="23" s="1"/>
  <c r="CZ19" i="71"/>
  <c r="DF10" i="71"/>
  <c r="DO30" i="71"/>
  <c r="BP34" i="71"/>
  <c r="EV23" i="71"/>
  <c r="W58" i="14" a="1"/>
  <c r="W58" i="14" s="1"/>
  <c r="G59" i="14" a="1"/>
  <c r="G59" i="14" s="1"/>
  <c r="CQ13" i="71"/>
  <c r="DO35" i="71"/>
  <c r="R12" i="27" a="1"/>
  <c r="R12" i="27" s="1"/>
  <c r="EY34" i="71"/>
  <c r="CH10" i="71"/>
  <c r="DU20" i="71"/>
  <c r="CH18" i="71"/>
  <c r="S58" i="23" a="1"/>
  <c r="S58" i="23" s="1"/>
  <c r="S36" i="23" s="1"/>
  <c r="DR21" i="71"/>
  <c r="CW7" i="71"/>
  <c r="J539" i="15"/>
  <c r="J567" i="15"/>
  <c r="EP15" i="71"/>
  <c r="ED20" i="71"/>
  <c r="CB28" i="71"/>
  <c r="H58" i="23" a="1"/>
  <c r="H58" i="23" s="1"/>
  <c r="H36" i="23" s="1"/>
  <c r="DF19" i="71"/>
  <c r="EM18" i="71"/>
  <c r="ED13" i="71"/>
  <c r="DX17" i="71"/>
  <c r="V202" i="13" a="1"/>
  <c r="V202" i="13" s="1"/>
  <c r="W58" i="23" a="1"/>
  <c r="W58" i="23" s="1"/>
  <c r="W36" i="23" s="1"/>
  <c r="J494" i="15"/>
  <c r="CK7" i="71"/>
  <c r="EG11" i="71"/>
  <c r="CZ24" i="71"/>
  <c r="N59" i="23" a="1"/>
  <c r="N59" i="23" s="1"/>
  <c r="CH19" i="71"/>
  <c r="CB10" i="71"/>
  <c r="DO10" i="71"/>
  <c r="CT29" i="71"/>
  <c r="DL7" i="71"/>
  <c r="CZ14" i="71"/>
  <c r="V58" i="14" a="1"/>
  <c r="V58" i="14" s="1"/>
  <c r="CN13" i="71"/>
  <c r="EA25" i="71"/>
  <c r="EA15" i="71"/>
  <c r="DO16" i="71"/>
  <c r="ED16" i="71"/>
  <c r="CQ27" i="71"/>
  <c r="DR9" i="71"/>
  <c r="CH4" i="71"/>
  <c r="EP4" i="71"/>
  <c r="CE31" i="71"/>
  <c r="V59" i="14" a="1"/>
  <c r="V59" i="14" s="1"/>
  <c r="BY36" i="71"/>
  <c r="N57" i="14" a="1"/>
  <c r="N57" i="14" s="1"/>
  <c r="J549" i="15"/>
  <c r="EM34" i="71"/>
  <c r="CU38" i="71"/>
  <c r="ED27" i="71"/>
  <c r="BS4" i="71"/>
  <c r="EY7" i="71"/>
  <c r="DX25" i="71"/>
  <c r="DI9" i="71"/>
  <c r="EP27" i="71"/>
  <c r="T57" i="23" a="1"/>
  <c r="T57" i="23" s="1"/>
  <c r="T35" i="23" s="1"/>
  <c r="EP36" i="71"/>
  <c r="J641" i="15"/>
  <c r="EA9" i="71"/>
  <c r="CT16" i="71"/>
  <c r="CZ7" i="71"/>
  <c r="ED30" i="71"/>
  <c r="DX9" i="71"/>
  <c r="EA13" i="71"/>
  <c r="EA20" i="71"/>
  <c r="ED8" i="71"/>
  <c r="BS12" i="71"/>
  <c r="EV6" i="71"/>
  <c r="M202" i="13" a="1"/>
  <c r="M202" i="13" s="1"/>
  <c r="ES28" i="71"/>
  <c r="BY17" i="71"/>
  <c r="EP25" i="71"/>
  <c r="DC18" i="71"/>
  <c r="CE32" i="71"/>
  <c r="Q58" i="14" a="1"/>
  <c r="Q58" i="14" s="1"/>
  <c r="CW23" i="71"/>
  <c r="J616" i="15"/>
  <c r="DU28" i="71"/>
  <c r="CN22" i="71"/>
  <c r="DC8" i="71"/>
  <c r="J602" i="15"/>
  <c r="AG1296" i="13" a="1"/>
  <c r="AG1296" i="13" s="1"/>
  <c r="BP29" i="71"/>
  <c r="EM30" i="71"/>
  <c r="BP15" i="71"/>
  <c r="H57" i="23" a="1"/>
  <c r="H57" i="23" s="1"/>
  <c r="H35" i="23" s="1"/>
  <c r="P58" i="14" a="1"/>
  <c r="P58" i="14" s="1"/>
  <c r="J619" i="15"/>
  <c r="BJ8" i="71"/>
  <c r="FB5" i="71"/>
  <c r="EM27" i="71"/>
  <c r="DR36" i="71"/>
  <c r="I202" i="13" a="1"/>
  <c r="I202" i="13" s="1"/>
  <c r="CE19" i="71"/>
  <c r="AJ1296" i="13" a="1"/>
  <c r="AJ1296" i="13" s="1"/>
  <c r="CH27" i="71"/>
  <c r="EG8" i="71"/>
  <c r="ED9" i="71"/>
  <c r="DR5" i="71"/>
  <c r="B45" i="23"/>
  <c r="BM36" i="71"/>
  <c r="Y56" i="23" a="1"/>
  <c r="Y56" i="23" s="1"/>
  <c r="EV9" i="71"/>
  <c r="FB15" i="71"/>
  <c r="F56" i="23" a="1"/>
  <c r="F56" i="23" s="1"/>
  <c r="EM26" i="71"/>
  <c r="EM25" i="71"/>
  <c r="CT34" i="71"/>
  <c r="S57" i="14" a="1"/>
  <c r="S57" i="14" s="1"/>
  <c r="DX5" i="71"/>
  <c r="CQ17" i="71"/>
  <c r="ES5" i="71"/>
  <c r="EG4" i="71"/>
  <c r="ED5" i="71"/>
  <c r="CT9" i="71"/>
  <c r="J478" i="15"/>
  <c r="ES34" i="71"/>
  <c r="BV30" i="71"/>
  <c r="CB20" i="71"/>
  <c r="CQ4" i="71"/>
  <c r="DX22" i="71"/>
  <c r="J57" i="23" a="1"/>
  <c r="J57" i="23" s="1"/>
  <c r="J35" i="23" s="1"/>
  <c r="Z59" i="14" a="1"/>
  <c r="Z59" i="14" s="1"/>
  <c r="BY5" i="71"/>
  <c r="EY21" i="71"/>
  <c r="BS26" i="71"/>
  <c r="EG21" i="71"/>
  <c r="F45" i="23"/>
  <c r="P45" i="23" s="1"/>
  <c r="Z45" i="23" s="1"/>
  <c r="CH5" i="71"/>
  <c r="DL20" i="71"/>
  <c r="CB9" i="71"/>
  <c r="EG31" i="71"/>
  <c r="J620" i="15"/>
  <c r="J579" i="15"/>
  <c r="CQ34" i="71"/>
  <c r="H56" i="23" a="1"/>
  <c r="H56" i="23" s="1"/>
  <c r="DX18" i="71"/>
  <c r="J586" i="15"/>
  <c r="CQ19" i="71"/>
  <c r="DR33" i="71"/>
  <c r="CE30" i="71"/>
  <c r="EY19" i="71"/>
  <c r="DO20" i="71"/>
  <c r="ED26" i="71"/>
  <c r="CZ11" i="71"/>
  <c r="EM24" i="71"/>
  <c r="CT10" i="71"/>
  <c r="CK29" i="71"/>
  <c r="M59" i="23" a="1"/>
  <c r="M59" i="23" s="1"/>
  <c r="J551" i="15"/>
  <c r="DR8" i="71"/>
  <c r="H56" i="14" a="1"/>
  <c r="H56" i="14" s="1"/>
  <c r="T12" i="27" a="1"/>
  <c r="T12" i="27" s="1"/>
  <c r="ES6" i="71"/>
  <c r="EA16" i="71"/>
  <c r="BS24" i="71"/>
  <c r="CZ18" i="71"/>
  <c r="CE28" i="71"/>
  <c r="EY10" i="71"/>
  <c r="CW21" i="71"/>
  <c r="FB11" i="71"/>
  <c r="AC1197" i="13" a="1"/>
  <c r="AC1197" i="13" s="1"/>
  <c r="I59" i="23" a="1"/>
  <c r="I59" i="23" s="1"/>
  <c r="J590" i="15"/>
  <c r="ES29" i="71"/>
  <c r="EY26" i="71"/>
  <c r="BS7" i="71"/>
  <c r="BV29" i="71"/>
  <c r="FB6" i="71"/>
  <c r="J622" i="15"/>
  <c r="CK5" i="71"/>
  <c r="DF27" i="71"/>
  <c r="DU27" i="71"/>
  <c r="O56" i="23" a="1"/>
  <c r="O56" i="23" s="1"/>
  <c r="CW11" i="71"/>
  <c r="CW10" i="71"/>
  <c r="J631" i="15"/>
  <c r="EP19" i="71"/>
  <c r="F47" i="23"/>
  <c r="P47" i="23" s="1"/>
  <c r="Z47" i="23" s="1"/>
  <c r="AR1197" i="13" a="1"/>
  <c r="AR1197" i="13" s="1"/>
  <c r="J520" i="15"/>
  <c r="DC35" i="71"/>
  <c r="CZ33" i="71"/>
  <c r="K58" i="23" a="1"/>
  <c r="K58" i="23" s="1"/>
  <c r="K36" i="23" s="1"/>
  <c r="DI14" i="71"/>
  <c r="CK11" i="71"/>
  <c r="EG27" i="71"/>
  <c r="J646" i="15"/>
  <c r="J609" i="15"/>
  <c r="FB9" i="71"/>
  <c r="V56" i="14" a="1"/>
  <c r="V56" i="14" s="1"/>
  <c r="DL9" i="71"/>
  <c r="EV16" i="71"/>
  <c r="FB29" i="71"/>
  <c r="DU33" i="71"/>
  <c r="Q14" i="27" a="1"/>
  <c r="Q14" i="27" s="1"/>
  <c r="CZ15" i="71"/>
  <c r="DX23" i="71"/>
  <c r="EP24" i="71"/>
  <c r="DU13" i="71"/>
  <c r="O57" i="23" a="1"/>
  <c r="O57" i="23" s="1"/>
  <c r="O35" i="23" s="1"/>
  <c r="AG1197" i="13" a="1"/>
  <c r="AG1197" i="13" s="1"/>
  <c r="BW38" i="71"/>
  <c r="DU35" i="71"/>
  <c r="EY5" i="71"/>
  <c r="K58" i="14" a="1"/>
  <c r="K58" i="14" s="1"/>
  <c r="DF4" i="71"/>
  <c r="T14" i="27" a="1"/>
  <c r="T14" i="27" s="1"/>
  <c r="J639" i="15"/>
  <c r="CE22" i="71"/>
  <c r="DR19" i="71"/>
  <c r="CT18" i="71"/>
  <c r="DO8" i="71"/>
  <c r="T57" i="14" a="1"/>
  <c r="T57" i="14" s="1"/>
  <c r="CB12" i="71"/>
  <c r="BS16" i="71"/>
  <c r="DU22" i="71"/>
  <c r="B49" i="23"/>
  <c r="BV10" i="71"/>
  <c r="EV5" i="71"/>
  <c r="AJ1197" i="13" a="1"/>
  <c r="AJ1197" i="13" s="1"/>
  <c r="BY33" i="71"/>
  <c r="EG16" i="71"/>
  <c r="AS1197" i="13" a="1"/>
  <c r="AS1197" i="13" s="1"/>
  <c r="CB23" i="71"/>
  <c r="CW5" i="71"/>
  <c r="AU1296" i="13" a="1"/>
  <c r="AU1296" i="13" s="1"/>
  <c r="EA22" i="71"/>
  <c r="EM28" i="71"/>
  <c r="AC1296" i="13" a="1"/>
  <c r="AC1296" i="13" s="1"/>
  <c r="BY21" i="71"/>
  <c r="DO32" i="71"/>
  <c r="EV4" i="71"/>
  <c r="Y57" i="14" a="1"/>
  <c r="Y57" i="14" s="1"/>
  <c r="DC4" i="71"/>
  <c r="DY38" i="71"/>
  <c r="EP22" i="71"/>
  <c r="EG24" i="71"/>
  <c r="F59" i="14" a="1"/>
  <c r="F59" i="14" s="1"/>
  <c r="EP6" i="71"/>
  <c r="EA10" i="71"/>
  <c r="CH16" i="71"/>
  <c r="G56" i="14" a="1"/>
  <c r="G56" i="14" s="1"/>
  <c r="DI17" i="71"/>
  <c r="DX35" i="71"/>
  <c r="DL22" i="71"/>
  <c r="FB35" i="71"/>
  <c r="DU26" i="71"/>
  <c r="ES17" i="71"/>
  <c r="AH1296" i="13" a="1"/>
  <c r="AH1296" i="13" s="1"/>
  <c r="EA21" i="71"/>
  <c r="B48" i="14"/>
  <c r="EA31" i="71"/>
  <c r="BV35" i="71"/>
  <c r="DC28" i="71"/>
  <c r="BJ26" i="71"/>
  <c r="F50" i="23"/>
  <c r="P50" i="23" s="1"/>
  <c r="Z50" i="23" s="1"/>
  <c r="BJ13" i="71"/>
  <c r="ED32" i="71"/>
  <c r="J58" i="14" a="1"/>
  <c r="J58" i="14" s="1"/>
  <c r="DI20" i="71"/>
  <c r="M57" i="23" a="1"/>
  <c r="M57" i="23" s="1"/>
  <c r="M35" i="23" s="1"/>
  <c r="CK36" i="71"/>
  <c r="DI35" i="71"/>
  <c r="EY4" i="71"/>
  <c r="EM31" i="71"/>
  <c r="I58" i="23" a="1"/>
  <c r="I58" i="23" s="1"/>
  <c r="I36" i="23" s="1"/>
  <c r="U56" i="14" a="1"/>
  <c r="U56" i="14" s="1"/>
  <c r="CQ16" i="71"/>
  <c r="EY33" i="71"/>
  <c r="J625" i="15"/>
  <c r="FB33" i="71"/>
  <c r="DD38" i="71"/>
  <c r="S56" i="23" a="1"/>
  <c r="S56" i="23" s="1"/>
  <c r="BP32" i="71"/>
  <c r="EG28" i="71"/>
  <c r="CW34" i="71"/>
  <c r="EY35" i="71"/>
  <c r="F202" i="13" a="1"/>
  <c r="F202" i="13" s="1"/>
  <c r="EV36" i="71"/>
  <c r="DI26" i="71"/>
  <c r="F58" i="14" a="1"/>
  <c r="F58" i="14" s="1"/>
  <c r="CB30" i="71"/>
  <c r="AT1197" i="13" a="1"/>
  <c r="AT1197" i="13" s="1"/>
  <c r="CN8" i="71"/>
  <c r="BV19" i="71"/>
  <c r="DI32" i="71"/>
  <c r="DX24" i="71"/>
  <c r="Q57" i="14" a="1"/>
  <c r="Q57" i="14" s="1"/>
  <c r="J582" i="15"/>
  <c r="CB31" i="71"/>
  <c r="BY13" i="71"/>
  <c r="G58" i="14" a="1"/>
  <c r="G58" i="14" s="1"/>
  <c r="EM35" i="71"/>
  <c r="CE13" i="71"/>
  <c r="CK23" i="71"/>
  <c r="K202" i="13" a="1"/>
  <c r="K202" i="13" s="1"/>
  <c r="CZ5" i="71"/>
  <c r="E119" i="15"/>
  <c r="CT31" i="71"/>
  <c r="EM23" i="71"/>
  <c r="DR12" i="71"/>
  <c r="DO5" i="71"/>
  <c r="CH33" i="71"/>
  <c r="N58" i="14" a="1"/>
  <c r="N58" i="14" s="1"/>
  <c r="CZ16" i="71"/>
  <c r="BZ38" i="71"/>
  <c r="CT23" i="71"/>
  <c r="J612" i="15"/>
  <c r="DC9" i="71"/>
  <c r="CC38" i="71"/>
  <c r="FB26" i="71"/>
  <c r="N59" i="14" a="1"/>
  <c r="N59" i="14" s="1"/>
  <c r="K59" i="14" a="1"/>
  <c r="K59" i="14" s="1"/>
  <c r="BM10" i="71"/>
  <c r="EP8" i="71"/>
  <c r="CZ29" i="71"/>
  <c r="J559" i="15"/>
  <c r="M58" i="14" a="1"/>
  <c r="M58" i="14" s="1"/>
  <c r="ED15" i="71"/>
  <c r="CT20" i="71"/>
  <c r="CH21" i="71"/>
  <c r="ED24" i="71"/>
  <c r="AK1296" i="13" a="1"/>
  <c r="AK1296" i="13" s="1"/>
  <c r="CB5" i="71"/>
  <c r="CQ29" i="71"/>
  <c r="BV24" i="71"/>
  <c r="DO17" i="71"/>
  <c r="BS27" i="71"/>
  <c r="T16" i="27" a="1"/>
  <c r="T16" i="27" s="1"/>
  <c r="CN23" i="71"/>
  <c r="ES19" i="71"/>
  <c r="CQ35" i="71"/>
  <c r="EM19" i="71"/>
  <c r="Z59" i="23" a="1"/>
  <c r="Z59" i="23" s="1"/>
  <c r="DL12" i="71"/>
  <c r="J630" i="15"/>
  <c r="DF12" i="71"/>
  <c r="J59" i="23" a="1"/>
  <c r="J59" i="23" s="1"/>
  <c r="O202" i="13" a="1"/>
  <c r="O202" i="13" s="1"/>
  <c r="EG22" i="71"/>
  <c r="EA36" i="71"/>
  <c r="CQ31" i="71"/>
  <c r="Z56" i="23" a="1"/>
  <c r="Z56" i="23" s="1"/>
  <c r="R57" i="14" a="1"/>
  <c r="R57" i="14" s="1"/>
  <c r="EM13" i="71"/>
  <c r="EV27" i="71"/>
  <c r="DC21" i="71"/>
  <c r="FB23" i="71"/>
  <c r="ED22" i="71"/>
  <c r="R59" i="14" a="1"/>
  <c r="R59" i="14" s="1"/>
  <c r="J600" i="15"/>
  <c r="BV25" i="71"/>
  <c r="BP22" i="71"/>
  <c r="CT22" i="71"/>
  <c r="AN1296" i="13" a="1"/>
  <c r="AN1296" i="13" s="1"/>
  <c r="BJ15" i="71"/>
  <c r="J544" i="15"/>
  <c r="CE21" i="71"/>
  <c r="EP29" i="71"/>
  <c r="B51" i="23"/>
  <c r="CQ9" i="71"/>
  <c r="DR20" i="71"/>
  <c r="EM15" i="71"/>
  <c r="EY11" i="71"/>
  <c r="BP20" i="71"/>
  <c r="AB1197" i="13" a="1"/>
  <c r="AB1197" i="13" s="1"/>
  <c r="ED36" i="71"/>
  <c r="P16" i="27" a="1"/>
  <c r="P16" i="27" s="1"/>
  <c r="CQ22" i="71"/>
  <c r="J524" i="15"/>
  <c r="CE11" i="71"/>
  <c r="J627" i="15"/>
  <c r="N56" i="23" a="1"/>
  <c r="N56" i="23" s="1"/>
  <c r="CW20" i="71"/>
  <c r="CW22" i="71"/>
  <c r="ED7" i="71"/>
  <c r="BJ12" i="71"/>
  <c r="BS6" i="71"/>
  <c r="BP7" i="71"/>
  <c r="H58" i="14" a="1"/>
  <c r="H58" i="14" s="1"/>
  <c r="DR32" i="71"/>
  <c r="J623" i="15"/>
  <c r="EA34" i="71"/>
  <c r="EH38" i="71"/>
  <c r="AD1197" i="13" a="1"/>
  <c r="AD1197" i="13" s="1"/>
  <c r="DI8" i="71"/>
  <c r="DR31" i="71"/>
  <c r="DO18" i="71"/>
  <c r="DR15" i="71"/>
  <c r="EV10" i="71"/>
  <c r="ED29" i="71"/>
  <c r="DI27" i="71"/>
  <c r="L57" i="14" a="1"/>
  <c r="L57" i="14" s="1"/>
  <c r="Q12" i="27" a="1"/>
  <c r="Q12" i="27" s="1"/>
  <c r="DX7" i="71"/>
  <c r="CT32" i="71"/>
  <c r="EM7" i="71"/>
  <c r="ES23" i="71"/>
  <c r="R57" i="23" a="1"/>
  <c r="R57" i="23" s="1"/>
  <c r="R35" i="23" s="1"/>
  <c r="J644" i="15"/>
  <c r="J547" i="15"/>
  <c r="CH30" i="71"/>
  <c r="FB16" i="71"/>
  <c r="BM23" i="71"/>
  <c r="AN1197" i="13" a="1"/>
  <c r="AN1197" i="13" s="1"/>
  <c r="AQ1197" i="13" a="1"/>
  <c r="AQ1197" i="13" s="1"/>
  <c r="J499" i="15"/>
  <c r="F49" i="23"/>
  <c r="P49" i="23" s="1"/>
  <c r="Z49" i="23" s="1"/>
  <c r="EM16" i="71"/>
  <c r="BY19" i="71"/>
  <c r="EY18" i="71"/>
  <c r="BS5" i="71"/>
  <c r="DF11" i="71"/>
  <c r="CH23" i="71"/>
  <c r="AO1296" i="13" a="1"/>
  <c r="AO1296" i="13" s="1"/>
  <c r="EG7" i="71"/>
  <c r="ED14" i="71"/>
  <c r="CK33" i="71"/>
  <c r="G56" i="23" a="1"/>
  <c r="G56" i="23" s="1"/>
  <c r="CN9" i="71"/>
  <c r="B44" i="23"/>
  <c r="BY14" i="71"/>
  <c r="EV7" i="71"/>
  <c r="ED11" i="71"/>
  <c r="CZ20" i="71"/>
  <c r="AP1296" i="13" a="1"/>
  <c r="AP1296" i="13" s="1"/>
  <c r="Y202" i="13" a="1"/>
  <c r="Y202" i="13" s="1"/>
  <c r="CK32" i="71"/>
  <c r="CN11" i="71"/>
  <c r="CH13" i="71"/>
  <c r="FB18" i="71"/>
  <c r="F57" i="14" a="1"/>
  <c r="F57" i="14" s="1"/>
  <c r="CQ10" i="71"/>
  <c r="EG19" i="71"/>
  <c r="BM14" i="71"/>
  <c r="AL1197" i="13" a="1"/>
  <c r="AL1197" i="13" s="1"/>
  <c r="U12" i="27" a="1"/>
  <c r="U12" i="27" s="1"/>
  <c r="EP18" i="71"/>
  <c r="DU19" i="71"/>
  <c r="DI25" i="71"/>
  <c r="DX26" i="71"/>
  <c r="CZ25" i="71"/>
  <c r="F44" i="23"/>
  <c r="CQ6" i="71"/>
  <c r="CB34" i="71"/>
  <c r="F56" i="14" a="1"/>
  <c r="F56" i="14" s="1"/>
  <c r="EP32" i="71"/>
  <c r="DF9" i="71"/>
  <c r="BV31" i="71"/>
  <c r="DJ38" i="71"/>
  <c r="X58" i="14" a="1"/>
  <c r="X58" i="14" s="1"/>
  <c r="FB34" i="71"/>
  <c r="BY29" i="71"/>
  <c r="AE1296" i="13" a="1"/>
  <c r="AE1296" i="13" s="1"/>
  <c r="K59" i="23" a="1"/>
  <c r="K59" i="23" s="1"/>
  <c r="CW35" i="71"/>
  <c r="DR35" i="71"/>
  <c r="J583" i="15"/>
  <c r="Q57" i="23" a="1"/>
  <c r="Q57" i="23" s="1"/>
  <c r="Q35" i="23" s="1"/>
  <c r="DC33" i="71"/>
  <c r="EA12" i="71"/>
  <c r="DO29" i="71"/>
  <c r="W57" i="23" a="1"/>
  <c r="W57" i="23" s="1"/>
  <c r="W35" i="23" s="1"/>
  <c r="DR6" i="71"/>
  <c r="J613" i="15"/>
  <c r="EA33" i="71"/>
  <c r="Z57" i="23" a="1"/>
  <c r="Z57" i="23" s="1"/>
  <c r="Z35" i="23" s="1"/>
  <c r="Q16" i="27" a="1"/>
  <c r="Q16" i="27" s="1"/>
  <c r="EV22" i="71"/>
  <c r="DU30" i="71"/>
  <c r="DR25" i="71"/>
  <c r="DL26" i="71"/>
  <c r="BK38" i="71"/>
  <c r="EM12" i="71"/>
  <c r="CR38" i="71"/>
  <c r="H202" i="13" a="1"/>
  <c r="H202" i="13" s="1"/>
  <c r="BS28" i="71"/>
  <c r="DL27" i="71"/>
  <c r="EA23" i="71"/>
  <c r="EV32" i="71"/>
  <c r="ES25" i="71"/>
  <c r="ED18" i="71"/>
  <c r="BM7" i="71"/>
  <c r="EM6" i="71"/>
  <c r="DO28" i="71"/>
  <c r="CH12" i="71"/>
  <c r="H59" i="14" a="1"/>
  <c r="H59" i="14" s="1"/>
  <c r="F57" i="23" a="1"/>
  <c r="F57" i="23" s="1"/>
  <c r="CZ31" i="71"/>
  <c r="EG9" i="71"/>
  <c r="DC11" i="71"/>
  <c r="EV26" i="71"/>
  <c r="E582" i="15"/>
  <c r="AK1197" i="13" a="1"/>
  <c r="AK1197" i="13" s="1"/>
  <c r="AH1197" i="13" a="1"/>
  <c r="AH1197" i="13" s="1"/>
  <c r="CK25" i="71"/>
  <c r="ES20" i="71"/>
  <c r="EG29" i="71"/>
  <c r="FB36" i="71"/>
  <c r="ES21" i="71"/>
  <c r="G58" i="23" a="1"/>
  <c r="G58" i="23" s="1"/>
  <c r="G36" i="23" s="1"/>
  <c r="CW14" i="71"/>
  <c r="DF35" i="71"/>
  <c r="CN25" i="71"/>
  <c r="CW9" i="71"/>
  <c r="V58" i="23" a="1"/>
  <c r="V58" i="23" s="1"/>
  <c r="V36" i="23" s="1"/>
  <c r="CH17" i="71"/>
  <c r="CH29" i="71"/>
  <c r="EM22" i="71"/>
  <c r="ED19" i="71"/>
  <c r="BM4" i="71"/>
  <c r="CW6" i="71"/>
  <c r="CK31" i="71"/>
  <c r="EP12" i="71"/>
  <c r="DI11" i="71"/>
  <c r="DL35" i="71"/>
  <c r="T58" i="14" a="1"/>
  <c r="T58" i="14" s="1"/>
  <c r="DF5" i="71"/>
  <c r="R58" i="14" a="1"/>
  <c r="R58" i="14" s="1"/>
  <c r="EZ38" i="71"/>
  <c r="BM27" i="71"/>
  <c r="R56" i="14" a="1"/>
  <c r="R56" i="14" s="1"/>
  <c r="DL10" i="71"/>
  <c r="CN33" i="71"/>
  <c r="BV8" i="71"/>
  <c r="DO12" i="71"/>
  <c r="CK18" i="71"/>
  <c r="W56" i="23" a="1"/>
  <c r="W56" i="23" s="1"/>
  <c r="DC6" i="71"/>
  <c r="O58" i="23" a="1"/>
  <c r="O58" i="23" s="1"/>
  <c r="O36" i="23" s="1"/>
  <c r="CT12" i="71"/>
  <c r="DO27" i="71"/>
  <c r="BJ21" i="71"/>
  <c r="BM33" i="71"/>
  <c r="CB24" i="71"/>
  <c r="DL4" i="71"/>
  <c r="J537" i="15"/>
  <c r="DO6" i="71"/>
  <c r="M59" i="14" a="1"/>
  <c r="M59" i="14" s="1"/>
  <c r="ES13" i="71"/>
  <c r="BP4" i="71"/>
  <c r="BY31" i="71"/>
  <c r="DI19" i="71"/>
  <c r="EV29" i="71"/>
  <c r="BM8" i="71"/>
  <c r="DU24" i="71"/>
  <c r="DI30" i="71"/>
  <c r="DC27" i="71"/>
  <c r="BY16" i="71"/>
  <c r="J645" i="15"/>
  <c r="AI1197" i="13" a="1"/>
  <c r="AI1197" i="13" s="1"/>
  <c r="W59" i="14" a="1"/>
  <c r="W59" i="14" s="1"/>
  <c r="DR13" i="71"/>
  <c r="EG25" i="71"/>
  <c r="CW17" i="71"/>
  <c r="J528" i="15"/>
  <c r="DO7" i="71"/>
  <c r="BY10" i="71"/>
  <c r="EM20" i="71"/>
  <c r="Y59" i="23" a="1"/>
  <c r="Y59" i="23" s="1"/>
  <c r="DL33" i="71"/>
  <c r="CH7" i="71"/>
  <c r="EY9" i="71"/>
  <c r="K57" i="14" a="1"/>
  <c r="K57" i="14" s="1"/>
  <c r="EM36" i="71"/>
  <c r="CB33" i="71"/>
  <c r="CK21" i="71"/>
  <c r="EV33" i="71"/>
  <c r="BS30" i="71"/>
  <c r="X202" i="13" a="1"/>
  <c r="X202" i="13" s="1"/>
  <c r="DI15" i="71"/>
  <c r="X57" i="23" a="1"/>
  <c r="X57" i="23" s="1"/>
  <c r="X35" i="23" s="1"/>
  <c r="CW12" i="71"/>
  <c r="BM11" i="71"/>
  <c r="DF18" i="71"/>
  <c r="L202" i="13" a="1"/>
  <c r="L202" i="13" s="1"/>
  <c r="EA27" i="71"/>
  <c r="DO34" i="71"/>
  <c r="CI38" i="71"/>
  <c r="DX13" i="71"/>
  <c r="BY12" i="71"/>
  <c r="DC15" i="71"/>
  <c r="DL11" i="71"/>
  <c r="BM20" i="71"/>
  <c r="BS20" i="71"/>
  <c r="DC26" i="71"/>
  <c r="DF16" i="71"/>
  <c r="CB25" i="71"/>
  <c r="DL36" i="71"/>
  <c r="FB27" i="71"/>
  <c r="BV6" i="71"/>
  <c r="CE17" i="71"/>
  <c r="BM32" i="71"/>
  <c r="EY14" i="71"/>
  <c r="B47" i="14"/>
  <c r="J561" i="15"/>
  <c r="DF31" i="71"/>
  <c r="BV7" i="71"/>
  <c r="CN7" i="71"/>
  <c r="DC22" i="71"/>
  <c r="K56" i="23" a="1"/>
  <c r="K56" i="23" s="1"/>
  <c r="ES18" i="71"/>
  <c r="CN34" i="71"/>
  <c r="U59" i="23" a="1"/>
  <c r="U59" i="23" s="1"/>
  <c r="AD1296" i="13" a="1"/>
  <c r="AD1296" i="13" s="1"/>
  <c r="I59" i="14" a="1"/>
  <c r="I59" i="14" s="1"/>
  <c r="BN38" i="71"/>
  <c r="EP35" i="71"/>
  <c r="BY15" i="71"/>
  <c r="CT4" i="71"/>
  <c r="BP12" i="71"/>
  <c r="BJ31" i="71"/>
  <c r="CW19" i="71"/>
  <c r="BM18" i="71"/>
  <c r="J535" i="15"/>
  <c r="I57" i="23" a="1"/>
  <c r="I57" i="23" s="1"/>
  <c r="I35" i="23" s="1"/>
  <c r="AR1296" i="13" a="1"/>
  <c r="AR1296" i="13" s="1"/>
  <c r="S58" i="14" a="1"/>
  <c r="S58" i="14" s="1"/>
  <c r="I57" i="14" a="1"/>
  <c r="I57" i="14" s="1"/>
  <c r="CE7" i="71"/>
  <c r="ED28" i="71"/>
  <c r="DO13" i="71"/>
  <c r="EV34" i="71"/>
  <c r="BV14" i="71"/>
  <c r="EM9" i="71"/>
  <c r="BV27" i="71"/>
  <c r="DU32" i="71"/>
  <c r="ES16" i="71"/>
  <c r="O59" i="14" a="1"/>
  <c r="O59" i="14" s="1"/>
  <c r="EG36" i="71"/>
  <c r="CZ21" i="71"/>
  <c r="CB14" i="71"/>
  <c r="BJ16" i="71"/>
  <c r="EM14" i="71"/>
  <c r="AT1296" i="13" a="1"/>
  <c r="AT1296" i="13" s="1"/>
  <c r="CE4" i="71"/>
  <c r="CN24" i="71"/>
  <c r="L58" i="23" a="1"/>
  <c r="L58" i="23" s="1"/>
  <c r="L36" i="23" s="1"/>
  <c r="EA29" i="71"/>
  <c r="S57" i="23" a="1"/>
  <c r="S57" i="23" s="1"/>
  <c r="S35" i="23" s="1"/>
  <c r="BV21" i="71"/>
  <c r="CK4" i="71"/>
  <c r="DF24" i="71"/>
  <c r="CT5" i="71"/>
  <c r="ED21" i="71"/>
  <c r="DU12" i="71"/>
  <c r="L58" i="14" a="1"/>
  <c r="L58" i="14" s="1"/>
  <c r="CN10" i="71"/>
  <c r="DU7" i="71"/>
  <c r="DU29" i="71"/>
  <c r="BY7" i="71"/>
  <c r="CQ21" i="71"/>
  <c r="BM29" i="71"/>
  <c r="DU18" i="71"/>
  <c r="BP35" i="71"/>
  <c r="G59" i="23" a="1"/>
  <c r="G59" i="23" s="1"/>
  <c r="DU4" i="71"/>
  <c r="DR24" i="71"/>
  <c r="CB32" i="71"/>
  <c r="S14" i="27" a="1"/>
  <c r="S14" i="27" s="1"/>
  <c r="CE15" i="71"/>
  <c r="EG20" i="71"/>
  <c r="Q56" i="14" a="1"/>
  <c r="Q56" i="14" s="1"/>
  <c r="BY27" i="71"/>
  <c r="BS36" i="71"/>
  <c r="J594" i="15"/>
  <c r="T56" i="23" a="1"/>
  <c r="T56" i="23" s="1"/>
  <c r="DL8" i="71"/>
  <c r="EG33" i="71"/>
  <c r="EY17" i="71"/>
  <c r="BP13" i="71"/>
  <c r="DL30" i="71"/>
  <c r="EY36" i="71"/>
  <c r="CZ17" i="71"/>
  <c r="F58" i="23" a="1"/>
  <c r="F58" i="23" s="1"/>
  <c r="FB21" i="71"/>
  <c r="DC23" i="71"/>
  <c r="EY24" i="71"/>
  <c r="J562" i="15"/>
  <c r="EB38" i="71"/>
  <c r="J591" i="15"/>
  <c r="B47" i="23"/>
  <c r="AM1296" i="13" a="1"/>
  <c r="AM1296" i="13" s="1"/>
  <c r="ES27" i="71"/>
  <c r="U14" i="27" a="1"/>
  <c r="U14" i="27" s="1"/>
  <c r="BM17" i="71"/>
  <c r="CQ26" i="71"/>
  <c r="ED33" i="71"/>
  <c r="CZ32" i="71"/>
  <c r="CT33" i="71"/>
  <c r="CK9" i="71"/>
  <c r="DX4" i="71"/>
  <c r="DI23" i="71"/>
  <c r="BJ19" i="71"/>
  <c r="J606" i="15"/>
  <c r="CQ23" i="71"/>
  <c r="CW28" i="71"/>
  <c r="J628" i="15"/>
  <c r="M57" i="14" a="1"/>
  <c r="M57" i="14" s="1"/>
  <c r="CE18" i="71"/>
  <c r="CN26" i="71"/>
  <c r="CO38" i="71"/>
  <c r="CT30" i="71"/>
  <c r="EY25" i="71"/>
  <c r="EA19" i="71"/>
  <c r="F46" i="23"/>
  <c r="P46" i="23" s="1"/>
  <c r="Z46" i="23" s="1"/>
  <c r="F44" i="14"/>
  <c r="P44" i="14" s="1"/>
  <c r="Z44" i="14" s="1"/>
  <c r="CH11" i="71"/>
  <c r="BS18" i="71"/>
  <c r="BY11" i="71"/>
  <c r="ES32" i="71"/>
  <c r="AB1296" i="13" a="1"/>
  <c r="AB1296" i="13" s="1"/>
  <c r="EP34" i="71"/>
  <c r="EA4" i="71"/>
  <c r="EP16" i="71"/>
  <c r="AF1197" i="13" a="1"/>
  <c r="AF1197" i="13" s="1"/>
  <c r="AE1197" i="13" s="1" a="1"/>
  <c r="AE1197" i="13" s="1"/>
  <c r="EP7" i="71"/>
  <c r="BP5" i="71"/>
  <c r="CZ35" i="71"/>
  <c r="BS21" i="71"/>
  <c r="BP25" i="71"/>
  <c r="J635" i="15"/>
  <c r="CN17" i="71"/>
  <c r="EY20" i="71"/>
  <c r="CZ10" i="71"/>
  <c r="CT35" i="71"/>
  <c r="J58" i="23" a="1"/>
  <c r="J58" i="23" s="1"/>
  <c r="J36" i="23" s="1"/>
  <c r="CT27" i="71"/>
  <c r="BV17" i="71"/>
  <c r="J636" i="15"/>
  <c r="DF7" i="71"/>
  <c r="S59" i="14" a="1"/>
  <c r="S59" i="14" s="1"/>
  <c r="DI29" i="71"/>
  <c r="CQ32" i="71"/>
  <c r="DF34" i="71"/>
  <c r="R14" i="27" a="1"/>
  <c r="R14" i="27" s="1"/>
  <c r="ED25" i="71"/>
  <c r="BM21" i="71"/>
  <c r="ES4" i="71"/>
  <c r="DC20" i="71"/>
  <c r="Q56" i="23" a="1"/>
  <c r="Q56" i="23" s="1"/>
  <c r="ED6" i="71"/>
  <c r="CZ34" i="71"/>
  <c r="DS38" i="71"/>
  <c r="EY22" i="71"/>
  <c r="DF22" i="71"/>
  <c r="EG26" i="71"/>
  <c r="CB17" i="71"/>
  <c r="ES10" i="71"/>
  <c r="DX30" i="71"/>
  <c r="BY35" i="71"/>
  <c r="B45" i="14"/>
  <c r="DR18" i="71"/>
  <c r="R56" i="23" a="1"/>
  <c r="R56" i="23" s="1"/>
  <c r="BP30" i="71"/>
  <c r="CW30" i="71"/>
  <c r="CT19" i="71"/>
  <c r="EV31" i="71"/>
  <c r="CK34" i="71"/>
  <c r="DL34" i="71"/>
  <c r="J629" i="15"/>
  <c r="CW25" i="71"/>
  <c r="Q59" i="23" a="1"/>
  <c r="Q59" i="23" s="1"/>
  <c r="EE38" i="71"/>
  <c r="ES11" i="71"/>
  <c r="CW18" i="71"/>
  <c r="CN29" i="71"/>
  <c r="BS9" i="71"/>
  <c r="BS25" i="71"/>
  <c r="DC29" i="71"/>
  <c r="G202" i="13" a="1"/>
  <c r="G202" i="13" s="1"/>
  <c r="DR11" i="71"/>
  <c r="ES12" i="71"/>
  <c r="X59" i="23" a="1"/>
  <c r="X59" i="23" s="1"/>
  <c r="CK12" i="71"/>
  <c r="EA26" i="71"/>
  <c r="P12" i="27" a="1"/>
  <c r="P12" i="27" s="1"/>
  <c r="EP31" i="71"/>
  <c r="EM32" i="71"/>
  <c r="DX12" i="71"/>
  <c r="BV12" i="71"/>
  <c r="DL17" i="71"/>
  <c r="EY32" i="71"/>
  <c r="CW32" i="71"/>
  <c r="DX28" i="71"/>
  <c r="CN35" i="71"/>
  <c r="ED35" i="71"/>
  <c r="BY4" i="71"/>
  <c r="L56" i="14" a="1"/>
  <c r="L56" i="14" s="1"/>
  <c r="Y59" i="14" a="1"/>
  <c r="Y59" i="14" s="1"/>
  <c r="EM5" i="71"/>
  <c r="BP27" i="71"/>
  <c r="CB29" i="71"/>
  <c r="J538" i="15"/>
  <c r="BS15" i="71"/>
  <c r="BJ27" i="71"/>
  <c r="BV5" i="71"/>
  <c r="CZ4" i="71"/>
  <c r="DI12" i="71"/>
  <c r="EM21" i="71"/>
  <c r="EV15" i="71"/>
  <c r="E177" i="15"/>
  <c r="CW36" i="71"/>
  <c r="EY23" i="71"/>
  <c r="DF26" i="71"/>
  <c r="U202" i="13" a="1"/>
  <c r="U202" i="13" s="1"/>
  <c r="CH32" i="71"/>
  <c r="EA11" i="71"/>
  <c r="CK8" i="71"/>
  <c r="T59" i="14" a="1"/>
  <c r="T59" i="14" s="1"/>
  <c r="DU8" i="71"/>
  <c r="CE9" i="71"/>
  <c r="ES9" i="71"/>
  <c r="BP19" i="71"/>
  <c r="DX16" i="71"/>
  <c r="DX14" i="71"/>
  <c r="T202" i="13" a="1"/>
  <c r="T202" i="13" s="1"/>
  <c r="EG30" i="71"/>
  <c r="BP6" i="71"/>
  <c r="EP11" i="71"/>
  <c r="EG32" i="71"/>
  <c r="DC32" i="71"/>
  <c r="B46" i="23"/>
  <c r="DF17" i="71"/>
  <c r="CH35" i="71"/>
  <c r="DX31" i="71"/>
  <c r="W202" i="13" a="1"/>
  <c r="W202" i="13" s="1"/>
  <c r="FB32" i="71"/>
  <c r="ES24" i="71"/>
  <c r="BM13" i="71"/>
  <c r="CN16" i="71"/>
  <c r="U58" i="14" a="1"/>
  <c r="U58" i="14" s="1"/>
  <c r="CN30" i="71"/>
  <c r="CH36" i="71"/>
  <c r="DA38" i="71"/>
  <c r="BV16" i="71"/>
  <c r="BS23" i="71"/>
  <c r="CB6" i="71"/>
  <c r="X56" i="23" a="1"/>
  <c r="X56" i="23" s="1"/>
  <c r="DI16" i="71"/>
  <c r="DC5" i="71"/>
  <c r="BM35" i="71"/>
  <c r="Y58" i="14" a="1"/>
  <c r="Y58" i="14" s="1"/>
  <c r="CN27" i="71"/>
  <c r="DO24" i="71"/>
  <c r="DC7" i="71"/>
  <c r="EP28" i="71"/>
  <c r="H59" i="23" a="1"/>
  <c r="H59" i="23" s="1"/>
  <c r="CQ7" i="71"/>
  <c r="BY20" i="71"/>
  <c r="DO26" i="71"/>
  <c r="DI4" i="71"/>
  <c r="CL38" i="71"/>
  <c r="CZ36" i="71"/>
  <c r="DI13" i="71"/>
  <c r="BS32" i="71"/>
  <c r="EV19" i="71"/>
  <c r="BM34" i="71"/>
  <c r="BP9" i="71"/>
  <c r="EY8" i="71"/>
  <c r="AP1197" i="13" a="1"/>
  <c r="AP1197" i="13" s="1"/>
  <c r="BS31" i="71"/>
  <c r="EM10" i="71"/>
  <c r="DV38" i="71"/>
  <c r="BY24" i="71"/>
  <c r="F201" i="13" a="1"/>
  <c r="F201" i="13" s="1"/>
  <c r="X58" i="23" a="1"/>
  <c r="X58" i="23" s="1"/>
  <c r="X36" i="23" s="1"/>
  <c r="CH20" i="71"/>
  <c r="CK14" i="71"/>
  <c r="EP26" i="71"/>
  <c r="AU1197" i="13" a="1"/>
  <c r="AU1197" i="13" s="1"/>
  <c r="L56" i="23" a="1"/>
  <c r="L56" i="23" s="1"/>
  <c r="J611" i="15"/>
  <c r="DO19" i="71"/>
  <c r="CB16" i="71"/>
  <c r="CN28" i="71"/>
  <c r="ES7" i="71"/>
  <c r="CE34" i="71"/>
  <c r="CT6" i="71"/>
  <c r="CK26" i="71"/>
  <c r="ES35" i="71"/>
  <c r="EV30" i="71"/>
  <c r="CK20" i="71"/>
  <c r="CT28" i="71"/>
  <c r="FB4" i="71"/>
  <c r="BY30" i="71"/>
  <c r="CK27" i="71"/>
  <c r="DF30" i="71"/>
  <c r="CW24" i="71"/>
  <c r="W56" i="14" a="1"/>
  <c r="W56" i="14" s="1"/>
  <c r="CE20" i="71"/>
  <c r="DC36" i="71"/>
  <c r="J495" i="15"/>
  <c r="DL16" i="71"/>
  <c r="J517" i="15"/>
  <c r="F50" i="14"/>
  <c r="P50" i="14" s="1"/>
  <c r="Z50" i="14" s="1"/>
  <c r="J601" i="15"/>
  <c r="EP10" i="71"/>
  <c r="CQ25" i="71"/>
  <c r="EG34" i="71"/>
  <c r="BY22" i="71"/>
  <c r="DX32" i="71"/>
  <c r="CB21" i="71"/>
  <c r="CT17" i="71"/>
  <c r="EQ38" i="71"/>
  <c r="BV28" i="71"/>
  <c r="DI34" i="71"/>
  <c r="DR22" i="71"/>
  <c r="CH28" i="71"/>
  <c r="EA8" i="71"/>
  <c r="P56" i="23" a="1"/>
  <c r="P56" i="23" s="1"/>
  <c r="DI21" i="71"/>
  <c r="CN6" i="71"/>
  <c r="EP13" i="71"/>
  <c r="BM22" i="71"/>
  <c r="AL1296" i="13" a="1"/>
  <c r="AL1296" i="13" s="1"/>
  <c r="EY16" i="71"/>
  <c r="J558" i="15"/>
  <c r="P59" i="14" a="1"/>
  <c r="P59" i="14" s="1"/>
  <c r="EP20" i="71"/>
  <c r="EA35" i="71"/>
  <c r="BS8" i="71"/>
  <c r="CK15" i="71"/>
  <c r="CE8" i="71"/>
  <c r="CT36" i="71"/>
  <c r="FB7" i="71"/>
  <c r="BY26" i="71"/>
  <c r="DF25" i="71"/>
  <c r="CN20" i="71"/>
  <c r="CQ18" i="71"/>
  <c r="CT24" i="71"/>
  <c r="CN21" i="71"/>
  <c r="DF36" i="71"/>
  <c r="CK13" i="71"/>
  <c r="BS11" i="71"/>
  <c r="CH34" i="71"/>
  <c r="CK28" i="71"/>
  <c r="CE29" i="71"/>
  <c r="ED4" i="71"/>
  <c r="CQ11" i="71"/>
  <c r="DC10" i="71"/>
  <c r="CW29" i="71"/>
  <c r="J56" i="14" a="1"/>
  <c r="J56" i="14" s="1"/>
  <c r="DO23" i="71"/>
  <c r="DX11" i="71"/>
  <c r="ES26" i="71"/>
  <c r="DR14" i="71"/>
  <c r="EP14" i="71"/>
  <c r="CZ30" i="71"/>
  <c r="CT13" i="71"/>
  <c r="CQ5" i="71"/>
  <c r="DF15" i="71"/>
  <c r="AS1296" i="13" a="1"/>
  <c r="AS1296" i="13" s="1"/>
  <c r="BQ38" i="71"/>
  <c r="BV4" i="71"/>
  <c r="CT25" i="71"/>
  <c r="CE14" i="71"/>
  <c r="CB22" i="71"/>
  <c r="DX6" i="71"/>
  <c r="BP23" i="71"/>
  <c r="BJ20" i="71"/>
  <c r="BY32" i="71"/>
  <c r="EY27" i="71"/>
  <c r="J533" i="15"/>
  <c r="K56" i="14" a="1"/>
  <c r="K56" i="14" s="1"/>
  <c r="DX36" i="71"/>
  <c r="CW8" i="71"/>
  <c r="CF38" i="71"/>
  <c r="FB13" i="71"/>
  <c r="BV11" i="71"/>
  <c r="DX33" i="71"/>
  <c r="BS13" i="71"/>
  <c r="BP28" i="71"/>
  <c r="K11" i="27" a="1"/>
  <c r="K11" i="27" s="1"/>
  <c r="CT26" i="71"/>
  <c r="J614" i="15"/>
  <c r="J626" i="15"/>
  <c r="DL31" i="71"/>
  <c r="EA28" i="71"/>
  <c r="J202" i="13" a="1"/>
  <c r="J202" i="13" s="1"/>
  <c r="CN32" i="71"/>
  <c r="EV35" i="71"/>
  <c r="DO15" i="71"/>
  <c r="CN18" i="71"/>
  <c r="S16" i="27" a="1"/>
  <c r="S16" i="27" s="1"/>
  <c r="S202" i="13" a="1"/>
  <c r="S202" i="13" s="1"/>
  <c r="BM31" i="71"/>
  <c r="DU15" i="71"/>
  <c r="DL5" i="71"/>
  <c r="K57" i="23" a="1"/>
  <c r="K57" i="23" s="1"/>
  <c r="K35" i="23" s="1"/>
  <c r="F48" i="23"/>
  <c r="P48" i="23" s="1"/>
  <c r="Z48" i="23" s="1"/>
  <c r="CQ28" i="71"/>
  <c r="BY28" i="71"/>
  <c r="EA14" i="71"/>
  <c r="T58" i="23" a="1"/>
  <c r="T58" i="23" s="1"/>
  <c r="T36" i="23" s="1"/>
  <c r="CN31" i="71"/>
  <c r="CH9" i="71"/>
  <c r="FB19" i="71"/>
  <c r="EV25" i="71"/>
  <c r="S59" i="23" a="1"/>
  <c r="S59" i="23" s="1"/>
  <c r="CB27" i="71"/>
  <c r="DO11" i="71"/>
  <c r="DR29" i="71"/>
  <c r="V56" i="23" a="1"/>
  <c r="V56" i="23" s="1"/>
  <c r="CW4" i="71"/>
  <c r="EV8" i="71"/>
  <c r="EA7" i="71"/>
  <c r="DL13" i="71"/>
  <c r="I56" i="23" a="1"/>
  <c r="I56" i="23" s="1"/>
  <c r="CE12" i="71"/>
  <c r="CK22" i="71"/>
  <c r="B46" i="14"/>
  <c r="FB8" i="71"/>
  <c r="ES31" i="71"/>
  <c r="BY34" i="71"/>
  <c r="DI31" i="71"/>
  <c r="BP11" i="71"/>
  <c r="Q202" i="13" a="1"/>
  <c r="Q202" i="13" s="1"/>
  <c r="DO22" i="71"/>
  <c r="BV33" i="71"/>
  <c r="N56" i="14" a="1"/>
  <c r="N56" i="14" s="1"/>
  <c r="CQ36" i="71"/>
  <c r="DC17" i="71"/>
  <c r="DL14" i="71"/>
  <c r="BS17" i="71"/>
  <c r="BJ7" i="71"/>
  <c r="CK6" i="71"/>
  <c r="DR34" i="71"/>
  <c r="CZ9" i="71"/>
  <c r="S12" i="27" a="1"/>
  <c r="S12" i="27" s="1"/>
  <c r="EG14" i="71"/>
  <c r="CN5" i="71"/>
  <c r="CN14" i="71"/>
  <c r="BP21" i="71"/>
  <c r="EP5" i="71"/>
  <c r="DU25" i="71"/>
  <c r="DO9" i="71"/>
  <c r="CH15" i="71"/>
  <c r="CK24" i="71"/>
  <c r="EY30" i="71"/>
  <c r="J632" i="15"/>
  <c r="ED31" i="71"/>
  <c r="DC31" i="71"/>
  <c r="J598" i="15"/>
  <c r="FB22" i="71"/>
  <c r="CB36" i="71"/>
  <c r="P57" i="14" a="1"/>
  <c r="P57" i="14" s="1"/>
  <c r="CT21" i="71"/>
  <c r="J593" i="15"/>
  <c r="ES22" i="71"/>
  <c r="DC12" i="71"/>
  <c r="CZ22" i="71"/>
  <c r="DU9" i="71"/>
  <c r="EP23" i="71"/>
  <c r="CZ6" i="71"/>
  <c r="FB24" i="71"/>
  <c r="CT11" i="71"/>
  <c r="EA32" i="71"/>
  <c r="BP36" i="71"/>
  <c r="DI18" i="71"/>
  <c r="DU5" i="71"/>
  <c r="CK19" i="71"/>
  <c r="CN12" i="71"/>
  <c r="CN36" i="71"/>
  <c r="CE27" i="71"/>
  <c r="J618" i="15"/>
  <c r="J568" i="15"/>
  <c r="DL25" i="71"/>
  <c r="CQ20" i="71"/>
  <c r="BP18" i="71"/>
  <c r="DF29" i="71"/>
  <c r="ET38" i="71"/>
  <c r="F46" i="14"/>
  <c r="P46" i="14" s="1"/>
  <c r="Z46" i="14" s="1"/>
  <c r="FB20" i="71"/>
  <c r="CE36" i="71"/>
  <c r="DR26" i="71"/>
  <c r="J580" i="15"/>
  <c r="J484" i="15"/>
  <c r="BM6" i="71"/>
  <c r="W57" i="14" a="1"/>
  <c r="W57" i="14" s="1"/>
  <c r="DO4" i="71"/>
  <c r="BV20" i="71"/>
  <c r="DM38" i="71"/>
  <c r="DC13" i="71"/>
  <c r="DO36" i="71"/>
  <c r="CQ15" i="71"/>
  <c r="CB26" i="71"/>
  <c r="DU6" i="71"/>
  <c r="BS34" i="71"/>
  <c r="S56" i="14" a="1"/>
  <c r="S56" i="14" s="1"/>
  <c r="J574" i="15"/>
  <c r="EY31" i="71"/>
  <c r="F59" i="23" a="1"/>
  <c r="F59" i="23" s="1"/>
  <c r="EA30" i="71"/>
  <c r="EA18" i="71"/>
  <c r="M56" i="14" a="1"/>
  <c r="M56" i="14" s="1"/>
  <c r="DI6" i="71"/>
  <c r="DL6" i="71"/>
  <c r="EV18" i="71"/>
  <c r="DU23" i="71"/>
  <c r="EV12" i="71"/>
  <c r="F49" i="14"/>
  <c r="P49" i="14" s="1"/>
  <c r="Z49" i="14" s="1"/>
  <c r="J589" i="15"/>
  <c r="V57" i="14" a="1"/>
  <c r="V57" i="14" s="1"/>
  <c r="DI7" i="71"/>
  <c r="BY18" i="71"/>
  <c r="DF20" i="71"/>
  <c r="DR10" i="71"/>
  <c r="EA5" i="71"/>
  <c r="G57" i="23" a="1"/>
  <c r="G57" i="23" s="1"/>
  <c r="G35" i="23" s="1"/>
  <c r="X57" i="14" a="1"/>
  <c r="X57" i="14" s="1"/>
  <c r="BV18" i="71"/>
  <c r="DL24" i="71"/>
  <c r="J59" i="14" a="1"/>
  <c r="J59" i="14" s="1"/>
  <c r="EM8" i="71"/>
  <c r="DR27" i="71"/>
  <c r="DU34" i="71"/>
  <c r="DR30" i="71"/>
  <c r="AM1197" i="13" a="1"/>
  <c r="AM1197" i="13" s="1"/>
  <c r="DI24" i="71"/>
  <c r="BV34" i="71"/>
  <c r="BS22" i="71"/>
  <c r="CB8" i="71"/>
  <c r="P14" i="27" a="1"/>
  <c r="P14" i="27" s="1"/>
  <c r="W59" i="23" a="1"/>
  <c r="W59" i="23" s="1"/>
  <c r="DX20" i="71"/>
  <c r="BJ18" i="71"/>
  <c r="CH25" i="71"/>
  <c r="DC14" i="71"/>
  <c r="EG35" i="71"/>
  <c r="J607" i="15"/>
  <c r="E120" i="15"/>
  <c r="DL32" i="71"/>
  <c r="EP21" i="71"/>
  <c r="EG10" i="71"/>
  <c r="CZ13" i="71"/>
  <c r="ED10" i="71"/>
  <c r="T56" i="14" a="1"/>
  <c r="T56" i="14" s="1"/>
  <c r="CB4" i="71"/>
  <c r="BY8" i="71"/>
  <c r="EG17" i="71"/>
  <c r="J56" i="23" a="1"/>
  <c r="J56" i="23" s="1"/>
  <c r="EG13" i="71"/>
  <c r="DO31" i="71"/>
  <c r="P56" i="14" a="1"/>
  <c r="P56" i="14" s="1"/>
  <c r="CW15" i="71"/>
  <c r="CH31" i="71"/>
  <c r="BM19" i="71"/>
  <c r="BV26" i="71"/>
  <c r="DO33" i="71"/>
  <c r="ES30" i="71"/>
  <c r="CB7" i="71"/>
  <c r="BY9" i="71"/>
  <c r="CZ27" i="71"/>
  <c r="J633" i="15"/>
  <c r="BY6" i="71"/>
  <c r="U56" i="23" a="1"/>
  <c r="U56" i="23" s="1"/>
  <c r="J497" i="15"/>
  <c r="DF28" i="71"/>
  <c r="CT7" i="71"/>
  <c r="DF8" i="71"/>
  <c r="Z57" i="14" a="1"/>
  <c r="Z57" i="14" s="1"/>
  <c r="CB18" i="71"/>
  <c r="DL28" i="71"/>
  <c r="BJ24" i="71"/>
  <c r="DL29" i="71"/>
  <c r="FB30" i="71"/>
  <c r="DF6" i="71"/>
  <c r="DC30" i="71"/>
  <c r="DI22" i="71"/>
  <c r="BP24" i="71"/>
  <c r="BP31" i="71"/>
  <c r="BV22" i="71"/>
  <c r="DU11" i="71"/>
  <c r="BS35" i="71"/>
  <c r="R59" i="23" a="1"/>
  <c r="R59" i="23" s="1"/>
  <c r="EW38" i="71"/>
  <c r="CE16" i="71"/>
  <c r="CK30" i="71"/>
  <c r="BJ23" i="71"/>
  <c r="O56" i="14" a="1"/>
  <c r="O56" i="14" s="1"/>
  <c r="B44" i="14"/>
  <c r="DX19" i="71"/>
  <c r="CK35" i="71"/>
  <c r="EV28" i="71"/>
  <c r="DX8" i="71"/>
  <c r="Q59" i="14" a="1"/>
  <c r="Q59" i="14" s="1"/>
  <c r="FB12" i="71"/>
  <c r="DF23" i="71"/>
  <c r="DX29" i="71"/>
  <c r="DX27" i="71"/>
  <c r="N202" i="13" a="1"/>
  <c r="N202" i="13" s="1"/>
  <c r="L59" i="14" a="1"/>
  <c r="L59" i="14" s="1"/>
  <c r="J597" i="15"/>
  <c r="BJ36" i="71"/>
  <c r="AZ73" i="4"/>
  <c r="AX168" i="13"/>
  <c r="A268" i="13"/>
  <c r="AZ69" i="4"/>
  <c r="BY81" i="4" a="1"/>
  <c r="BY81" i="4" s="1"/>
  <c r="BZ81" i="4" a="1"/>
  <c r="BZ81" i="4" s="1"/>
  <c r="BX81" i="4" s="1" a="1"/>
  <c r="BX81" i="4" s="1"/>
  <c r="AZ90" i="4"/>
  <c r="AZ72" i="4"/>
  <c r="AX170" i="13"/>
  <c r="A270" i="13"/>
  <c r="AZ66" i="4"/>
  <c r="V96" i="69"/>
  <c r="B31" i="4"/>
  <c r="BA31" i="4" a="1"/>
  <c r="BA31" i="4" s="1"/>
  <c r="BB31" i="4" s="1"/>
  <c r="AV133" i="13" s="1"/>
  <c r="AX192" i="13"/>
  <c r="A292" i="13"/>
  <c r="A251" i="13"/>
  <c r="AX151" i="13"/>
  <c r="M68" i="4"/>
  <c r="BS94" i="4"/>
  <c r="AX153" i="13"/>
  <c r="A253" i="13"/>
  <c r="CU49" i="4"/>
  <c r="CV49" i="4" s="1"/>
  <c r="AX49" i="4"/>
  <c r="B25" i="4"/>
  <c r="E590" i="15" s="1"/>
  <c r="BA25" i="4" a="1"/>
  <c r="BA25" i="4" s="1"/>
  <c r="BB25" i="4" s="1"/>
  <c r="AV127" i="13" s="1"/>
  <c r="AX146" i="13"/>
  <c r="A246" i="13"/>
  <c r="M63" i="4"/>
  <c r="A214" i="13"/>
  <c r="AX114" i="13"/>
  <c r="AX706" i="13"/>
  <c r="AD10" i="4"/>
  <c r="BS95" i="4"/>
  <c r="BZ26" i="4" a="1"/>
  <c r="BZ26" i="4" s="1"/>
  <c r="BX26" i="4" s="1" a="1"/>
  <c r="BX26" i="4" s="1"/>
  <c r="BY26" i="4" a="1"/>
  <c r="BY26" i="4" s="1"/>
  <c r="C42" i="1"/>
  <c r="AZ75" i="4"/>
  <c r="AX132" i="13"/>
  <c r="A232" i="13"/>
  <c r="AX122" i="13"/>
  <c r="A222" i="13"/>
  <c r="K65" i="4"/>
  <c r="AZ10" i="69"/>
  <c r="N58" i="23" a="1"/>
  <c r="N58" i="23" s="1"/>
  <c r="N36" i="23" s="1"/>
  <c r="AZ9" i="69"/>
  <c r="BA9" i="69"/>
  <c r="BJ35" i="71"/>
  <c r="U9" i="69" a="1"/>
  <c r="U9" i="69" s="1"/>
  <c r="AE10" i="69" a="1"/>
  <c r="AE10" i="69" s="1"/>
  <c r="AK10" i="69" s="1" a="1"/>
  <c r="AK10" i="69" s="1"/>
  <c r="CZ23" i="71"/>
  <c r="AX1182" i="13"/>
  <c r="A1281" i="13"/>
  <c r="BS79" i="4"/>
  <c r="V94" i="72"/>
  <c r="A74" i="4"/>
  <c r="H49" i="9"/>
  <c r="AX181" i="13"/>
  <c r="A281" i="13"/>
  <c r="BA13" i="4" a="1"/>
  <c r="BA13" i="4" s="1"/>
  <c r="BB13" i="4" s="1"/>
  <c r="AV115" i="13" s="1"/>
  <c r="B13" i="4"/>
  <c r="J483" i="15"/>
  <c r="J640" i="15"/>
  <c r="Z94" i="69"/>
  <c r="C16" i="1"/>
  <c r="AZ77" i="4"/>
  <c r="CU27" i="4"/>
  <c r="CV27" i="4" s="1"/>
  <c r="AX27" i="4"/>
  <c r="BA27" i="4" a="1"/>
  <c r="BA27" i="4" s="1"/>
  <c r="BB27" i="4" s="1"/>
  <c r="AV129" i="13" s="1"/>
  <c r="B27" i="4"/>
  <c r="M78" i="4"/>
  <c r="AZ91" i="4"/>
  <c r="A95" i="4"/>
  <c r="A76" i="4"/>
  <c r="BY64" i="4" a="1"/>
  <c r="BY64" i="4" s="1"/>
  <c r="BZ64" i="4" a="1"/>
  <c r="BZ64" i="4" s="1"/>
  <c r="BX64" i="4" s="1" a="1"/>
  <c r="BX64" i="4" s="1"/>
  <c r="A1224" i="13"/>
  <c r="AX1125" i="13"/>
  <c r="C8" i="1"/>
  <c r="H10" i="9"/>
  <c r="H17" i="9"/>
  <c r="C15" i="1"/>
  <c r="AX18" i="4"/>
  <c r="CU18" i="4"/>
  <c r="CV18" i="4" s="1"/>
  <c r="AU21" i="71"/>
  <c r="AU8" i="71"/>
  <c r="AU34" i="71"/>
  <c r="AU16" i="71"/>
  <c r="AU10" i="71"/>
  <c r="AU5" i="71"/>
  <c r="AU23" i="71"/>
  <c r="AU15" i="71"/>
  <c r="AU33" i="71"/>
  <c r="AU9" i="71"/>
  <c r="AU17" i="71"/>
  <c r="AU13" i="71"/>
  <c r="AU19" i="71"/>
  <c r="AU22" i="71"/>
  <c r="AU4" i="71"/>
  <c r="AU18" i="71"/>
  <c r="AU20" i="71"/>
  <c r="AU32" i="71"/>
  <c r="AU27" i="71"/>
  <c r="AV38" i="71"/>
  <c r="AU12" i="71"/>
  <c r="AU36" i="71"/>
  <c r="AU11" i="71"/>
  <c r="AU30" i="71"/>
  <c r="AU14" i="71"/>
  <c r="AU31" i="71"/>
  <c r="AU6" i="71"/>
  <c r="AU35" i="71"/>
  <c r="AU26" i="71"/>
  <c r="AU28" i="71"/>
  <c r="AU24" i="71"/>
  <c r="AU7" i="71"/>
  <c r="AU29" i="71"/>
  <c r="AX1159" i="13"/>
  <c r="A1258" i="13"/>
  <c r="Z4" i="72"/>
  <c r="L4" i="72"/>
  <c r="V4" i="72"/>
  <c r="AC4" i="72"/>
  <c r="AS4" i="72"/>
  <c r="AR4" i="72"/>
  <c r="BB4" i="72"/>
  <c r="M4" i="72"/>
  <c r="A4" i="72"/>
  <c r="AB4" i="72" a="1"/>
  <c r="AB4" i="72" s="1"/>
  <c r="P4" i="72"/>
  <c r="W4" i="72"/>
  <c r="BQ4" i="72" s="1" a="1"/>
  <c r="BQ4" i="72" s="1"/>
  <c r="Q4" i="72"/>
  <c r="K4" i="72" a="1"/>
  <c r="K4" i="72" s="1"/>
  <c r="AA4" i="72"/>
  <c r="BU4" i="72"/>
  <c r="T4" i="72"/>
  <c r="J4" i="72"/>
  <c r="Y4" i="72"/>
  <c r="N4" i="72" a="1"/>
  <c r="N4" i="72" s="1"/>
  <c r="BC4" i="72"/>
  <c r="I59" i="4"/>
  <c r="AX1104" i="13"/>
  <c r="A1203" i="13"/>
  <c r="A275" i="13"/>
  <c r="AX175" i="13"/>
  <c r="A57" i="4"/>
  <c r="M89" i="4"/>
  <c r="AX1127" i="13"/>
  <c r="A1226" i="13"/>
  <c r="AS6" i="4"/>
  <c r="AV608" i="13" s="1"/>
  <c r="I73" i="4"/>
  <c r="B36" i="4"/>
  <c r="BA36" i="4" a="1"/>
  <c r="BA36" i="4" s="1"/>
  <c r="BB36" i="4" s="1"/>
  <c r="AV138" i="13" s="1"/>
  <c r="AX36" i="4"/>
  <c r="CU36" i="4"/>
  <c r="CV36" i="4" s="1"/>
  <c r="A69" i="4"/>
  <c r="C81" i="1"/>
  <c r="BS90" i="4"/>
  <c r="AZ67" i="4"/>
  <c r="C28" i="1"/>
  <c r="B22" i="4"/>
  <c r="BA22" i="4" a="1"/>
  <c r="BA22" i="4" s="1"/>
  <c r="BB22" i="4" s="1"/>
  <c r="AV124" i="13" s="1"/>
  <c r="BS66" i="4"/>
  <c r="V95" i="72"/>
  <c r="BY31" i="4" a="1"/>
  <c r="BY31" i="4" s="1"/>
  <c r="BZ31" i="4" a="1"/>
  <c r="BZ31" i="4" s="1"/>
  <c r="BX31" i="4" s="1" a="1"/>
  <c r="BX31" i="4" s="1"/>
  <c r="BB3" i="69"/>
  <c r="R3" i="69"/>
  <c r="AY3" i="69"/>
  <c r="L3" i="69"/>
  <c r="AT3" i="69" a="1"/>
  <c r="AT3" i="69" s="1"/>
  <c r="AE3" i="69" a="1"/>
  <c r="AE3" i="69" s="1"/>
  <c r="BK3" i="69"/>
  <c r="BJ3" i="69" s="1"/>
  <c r="BM3" i="69" s="1"/>
  <c r="BL3" i="69" a="1"/>
  <c r="BL3" i="69" s="1"/>
  <c r="BC3" i="69"/>
  <c r="AV1398" i="13"/>
  <c r="AZ3" i="69"/>
  <c r="BQ3" i="69"/>
  <c r="E3" i="69"/>
  <c r="A283" i="13"/>
  <c r="AX183" i="13"/>
  <c r="BZ83" i="4" a="1"/>
  <c r="BZ83" i="4" s="1"/>
  <c r="BX83" i="4" s="1" a="1"/>
  <c r="BX83" i="4" s="1"/>
  <c r="BY83" i="4" a="1"/>
  <c r="BY83" i="4" s="1"/>
  <c r="AX154" i="13"/>
  <c r="A254" i="13"/>
  <c r="AZ68" i="4"/>
  <c r="I9" i="72"/>
  <c r="I9" i="69"/>
  <c r="I96" i="4"/>
  <c r="BY19" i="4" a="1"/>
  <c r="BY19" i="4" s="1"/>
  <c r="BZ19" i="4" a="1"/>
  <c r="BZ19" i="4" s="1"/>
  <c r="BX19" i="4" s="1" a="1"/>
  <c r="BX19" i="4" s="1"/>
  <c r="A1284" i="13"/>
  <c r="AX1185" i="13"/>
  <c r="AS25" i="4"/>
  <c r="AV627" i="13" s="1"/>
  <c r="A63" i="4"/>
  <c r="AS41" i="4"/>
  <c r="AV643" i="13" s="1"/>
  <c r="AX32" i="4"/>
  <c r="CU32" i="4"/>
  <c r="CV32" i="4" s="1"/>
  <c r="BY93" i="4" a="1"/>
  <c r="BY93" i="4" s="1"/>
  <c r="BZ93" i="4" a="1"/>
  <c r="BZ93" i="4" s="1"/>
  <c r="BX93" i="4" s="1" a="1"/>
  <c r="BX93" i="4" s="1"/>
  <c r="B44" i="4"/>
  <c r="BA44" i="4" a="1"/>
  <c r="BA44" i="4" s="1"/>
  <c r="BB44" i="4" s="1"/>
  <c r="AV146" i="13" s="1"/>
  <c r="V95" i="69"/>
  <c r="BS92" i="4"/>
  <c r="K56" i="4"/>
  <c r="BZ12" i="4" a="1"/>
  <c r="BZ12" i="4" s="1"/>
  <c r="BX12" i="4" s="1" a="1"/>
  <c r="BX12" i="4" s="1"/>
  <c r="BY12" i="4" a="1"/>
  <c r="BY12" i="4" s="1"/>
  <c r="AX1128" i="13"/>
  <c r="A1227" i="13"/>
  <c r="BS65" i="4"/>
  <c r="S16" i="4"/>
  <c r="Z1608" i="13"/>
  <c r="T16" i="4"/>
  <c r="DG38" i="71"/>
  <c r="M10" i="72"/>
  <c r="BQ9" i="69"/>
  <c r="AM10" i="72"/>
  <c r="AY10" i="69"/>
  <c r="BB10" i="69"/>
  <c r="R10" i="69"/>
  <c r="BK10" i="69"/>
  <c r="BJ10" i="69" s="1"/>
  <c r="BM10" i="69" s="1"/>
  <c r="BL10" i="69" a="1"/>
  <c r="BL10" i="69" s="1"/>
  <c r="E10" i="69"/>
  <c r="B48" i="23"/>
  <c r="BZ54" i="4" a="1"/>
  <c r="BZ54" i="4" s="1"/>
  <c r="BX54" i="4" s="1" a="1"/>
  <c r="BX54" i="4" s="1"/>
  <c r="BY54" i="4" a="1"/>
  <c r="BY54" i="4" s="1"/>
  <c r="C88" i="1"/>
  <c r="B37" i="4"/>
  <c r="BA37" i="4" a="1"/>
  <c r="BA37" i="4" s="1"/>
  <c r="BB37" i="4" s="1"/>
  <c r="AV139" i="13" s="1"/>
  <c r="BY37" i="4" a="1"/>
  <c r="BY37" i="4" s="1"/>
  <c r="BZ37" i="4" a="1"/>
  <c r="BZ37" i="4" s="1"/>
  <c r="BX37" i="4" s="1" a="1"/>
  <c r="BX37" i="4" s="1"/>
  <c r="E45" i="4"/>
  <c r="BD45" i="4" s="1"/>
  <c r="BY17" i="4" a="1"/>
  <c r="BY17" i="4" s="1"/>
  <c r="BZ17" i="4" a="1"/>
  <c r="BZ17" i="4" s="1"/>
  <c r="BX17" i="4" s="1" a="1"/>
  <c r="BX17" i="4" s="1"/>
  <c r="AX1138" i="13"/>
  <c r="A1237" i="13"/>
  <c r="BY29" i="4" a="1"/>
  <c r="BY29" i="4" s="1"/>
  <c r="BZ29" i="4" a="1"/>
  <c r="BZ29" i="4" s="1"/>
  <c r="BX29" i="4" s="1" a="1"/>
  <c r="BX29" i="4" s="1"/>
  <c r="CU57" i="4"/>
  <c r="CV57" i="4" s="1"/>
  <c r="BS89" i="4"/>
  <c r="BZ21" i="4" a="1"/>
  <c r="BZ21" i="4" s="1"/>
  <c r="BX21" i="4" s="1" a="1"/>
  <c r="BX21" i="4" s="1"/>
  <c r="BY21" i="4" a="1"/>
  <c r="BY21" i="4" s="1"/>
  <c r="AX169" i="13"/>
  <c r="A269" i="13"/>
  <c r="BA6" i="4" a="1"/>
  <c r="BA6" i="4" s="1"/>
  <c r="BB6" i="4" s="1"/>
  <c r="AV108" i="13" s="1"/>
  <c r="B6" i="4"/>
  <c r="J532" i="15"/>
  <c r="BZ73" i="4" a="1"/>
  <c r="BZ73" i="4" s="1"/>
  <c r="BX73" i="4" s="1" a="1"/>
  <c r="BX73" i="4" s="1"/>
  <c r="BY73" i="4" a="1"/>
  <c r="BY73" i="4" s="1"/>
  <c r="I67" i="4"/>
  <c r="BY28" i="4" a="1"/>
  <c r="BY28" i="4" s="1"/>
  <c r="BZ28" i="4" a="1"/>
  <c r="BZ28" i="4" s="1"/>
  <c r="BX28" i="4" s="1" a="1"/>
  <c r="BX28" i="4" s="1"/>
  <c r="CU28" i="4"/>
  <c r="CV28" i="4" s="1"/>
  <c r="AX28" i="4"/>
  <c r="BZ22" i="4" a="1"/>
  <c r="BZ22" i="4" s="1"/>
  <c r="BX22" i="4" s="1" a="1"/>
  <c r="BX22" i="4" s="1"/>
  <c r="BY22" i="4" a="1"/>
  <c r="BY22" i="4" s="1"/>
  <c r="I66" i="4"/>
  <c r="C11" i="1"/>
  <c r="BZ48" i="4" a="1"/>
  <c r="BZ48" i="4" s="1"/>
  <c r="BX48" i="4" s="1" a="1"/>
  <c r="BX48" i="4" s="1"/>
  <c r="BY48" i="4" a="1"/>
  <c r="BY48" i="4" s="1"/>
  <c r="AN3" i="72"/>
  <c r="BD3" i="72"/>
  <c r="R3" i="72"/>
  <c r="AK3" i="72"/>
  <c r="BG3" i="72"/>
  <c r="BQ3" i="72" a="1"/>
  <c r="BQ3" i="72" s="1"/>
  <c r="BP3" i="72"/>
  <c r="BO3" i="72" s="1"/>
  <c r="BR3" i="72" s="1"/>
  <c r="L3" i="72"/>
  <c r="AY3" i="72" a="1"/>
  <c r="AY3" i="72" s="1"/>
  <c r="BH3" i="72"/>
  <c r="AM3" i="72"/>
  <c r="E3" i="72"/>
  <c r="AJ3" i="72"/>
  <c r="AE3" i="72" a="1"/>
  <c r="AE3" i="72" s="1"/>
  <c r="BN3" i="72" s="1" a="1"/>
  <c r="BN3" i="72" s="1"/>
  <c r="BE3" i="72"/>
  <c r="BV3" i="72"/>
  <c r="A1222" i="13"/>
  <c r="AX1123" i="13"/>
  <c r="C83" i="1"/>
  <c r="A274" i="13"/>
  <c r="AX174" i="13"/>
  <c r="BS68" i="4"/>
  <c r="A289" i="13"/>
  <c r="AX189" i="13"/>
  <c r="AZ63" i="4"/>
  <c r="A288" i="13"/>
  <c r="AX188" i="13"/>
  <c r="K92" i="4"/>
  <c r="C92" i="1"/>
  <c r="A56" i="4"/>
  <c r="BY56" i="4" a="1"/>
  <c r="BY56" i="4" s="1"/>
  <c r="BZ56" i="4" a="1"/>
  <c r="BZ56" i="4" s="1"/>
  <c r="BX56" i="4" s="1" a="1"/>
  <c r="BX56" i="4" s="1"/>
  <c r="I65" i="4"/>
  <c r="J10" i="72"/>
  <c r="F47" i="14"/>
  <c r="P47" i="14" s="1"/>
  <c r="Z47" i="14" s="1"/>
  <c r="I58" i="14" a="1"/>
  <c r="I58" i="14" s="1"/>
  <c r="BV9" i="72"/>
  <c r="AR9" i="72"/>
  <c r="AE10" i="72" a="1"/>
  <c r="AE10" i="72" s="1"/>
  <c r="BN10" i="72" s="1" a="1"/>
  <c r="BN10" i="72" s="1"/>
  <c r="BE10" i="72"/>
  <c r="AK10" i="72" s="1"/>
  <c r="AJ10" i="72"/>
  <c r="BJ33" i="71"/>
  <c r="BP10" i="71"/>
  <c r="CT15" i="71"/>
  <c r="ES15" i="71"/>
  <c r="BY84" i="4" a="1"/>
  <c r="BY84" i="4" s="1"/>
  <c r="BZ84" i="4" a="1"/>
  <c r="BZ84" i="4" s="1"/>
  <c r="BX84" i="4" s="1" a="1"/>
  <c r="BX84" i="4" s="1"/>
  <c r="BA16" i="4" a="1"/>
  <c r="BA16" i="4" s="1"/>
  <c r="BB16" i="4" s="1"/>
  <c r="AV118" i="13" s="1"/>
  <c r="B16" i="4"/>
  <c r="J553" i="15"/>
  <c r="J545" i="15"/>
  <c r="CU91" i="4"/>
  <c r="CV91" i="4" s="1"/>
  <c r="AN4" i="69"/>
  <c r="P4" i="69"/>
  <c r="AW4" i="69"/>
  <c r="AC4" i="69"/>
  <c r="N4" i="69" a="1"/>
  <c r="N4" i="69" s="1"/>
  <c r="T4" i="69"/>
  <c r="V4" i="69"/>
  <c r="W4" i="69"/>
  <c r="AM4" i="69"/>
  <c r="Y4" i="69"/>
  <c r="BP4" i="69"/>
  <c r="M4" i="69"/>
  <c r="AA4" i="69"/>
  <c r="AX4" i="69"/>
  <c r="AB4" i="69" a="1"/>
  <c r="AB4" i="69" s="1"/>
  <c r="J4" i="69"/>
  <c r="A4" i="69"/>
  <c r="K4" i="69" a="1"/>
  <c r="K4" i="69" s="1"/>
  <c r="Q4" i="69"/>
  <c r="L4" i="69"/>
  <c r="Z4" i="69"/>
  <c r="G4" i="69"/>
  <c r="BA7" i="4" a="1"/>
  <c r="BA7" i="4" s="1"/>
  <c r="BB7" i="4" s="1"/>
  <c r="AV109" i="13" s="1"/>
  <c r="B7" i="4"/>
  <c r="AX1146" i="13"/>
  <c r="A1245" i="13"/>
  <c r="I69" i="4"/>
  <c r="AL3" i="4"/>
  <c r="E486" i="15"/>
  <c r="E185" i="15"/>
  <c r="E375" i="15"/>
  <c r="E344" i="15"/>
  <c r="E136" i="15"/>
  <c r="E268" i="15"/>
  <c r="E566" i="15"/>
  <c r="E76" i="15"/>
  <c r="E71" i="15"/>
  <c r="E578" i="15"/>
  <c r="E603" i="15"/>
  <c r="E638" i="15"/>
  <c r="E363" i="15"/>
  <c r="E307" i="15"/>
  <c r="E358" i="15"/>
  <c r="E507" i="15"/>
  <c r="DE3" i="4"/>
  <c r="E3" i="4"/>
  <c r="AP3" i="4"/>
  <c r="BZ79" i="4" a="1"/>
  <c r="BZ79" i="4" s="1"/>
  <c r="BX79" i="4" s="1" a="1"/>
  <c r="BX79" i="4" s="1"/>
  <c r="BY79" i="4" a="1"/>
  <c r="BY79" i="4" s="1"/>
  <c r="AX186" i="13"/>
  <c r="A286" i="13"/>
  <c r="AX43" i="4"/>
  <c r="CU43" i="4"/>
  <c r="CV43" i="4" s="1"/>
  <c r="CU47" i="4"/>
  <c r="CV47" i="4" s="1"/>
  <c r="AX47" i="4"/>
  <c r="AF16" i="71"/>
  <c r="AX13" i="4"/>
  <c r="CU13" i="4"/>
  <c r="CV13" i="4" s="1"/>
  <c r="AF27" i="71"/>
  <c r="AF5" i="71"/>
  <c r="AF15" i="71"/>
  <c r="AF22" i="71"/>
  <c r="AF12" i="71"/>
  <c r="AF21" i="71"/>
  <c r="AF11" i="71"/>
  <c r="AF36" i="71"/>
  <c r="AF23" i="71"/>
  <c r="AF14" i="71"/>
  <c r="AF13" i="71"/>
  <c r="AF32" i="71"/>
  <c r="AF30" i="71"/>
  <c r="AF7" i="71"/>
  <c r="AF34" i="71"/>
  <c r="AF8" i="71"/>
  <c r="AG38" i="71"/>
  <c r="AF28" i="71"/>
  <c r="AF24" i="71"/>
  <c r="AF31" i="71"/>
  <c r="AF29" i="71"/>
  <c r="AF20" i="71"/>
  <c r="AF19" i="71"/>
  <c r="AF10" i="71"/>
  <c r="AF18" i="71"/>
  <c r="AF17" i="71"/>
  <c r="AF4" i="71"/>
  <c r="AF6" i="71"/>
  <c r="AF25" i="71"/>
  <c r="AF26" i="71"/>
  <c r="AF33" i="71"/>
  <c r="AF35" i="71"/>
  <c r="AF9" i="71"/>
  <c r="AS16" i="4"/>
  <c r="AV618" i="13" s="1"/>
  <c r="I77" i="4"/>
  <c r="AX1141" i="13"/>
  <c r="A1240" i="13"/>
  <c r="BZ78" i="4" a="1"/>
  <c r="BZ78" i="4" s="1"/>
  <c r="BX78" i="4" s="1" a="1"/>
  <c r="BX78" i="4" s="1"/>
  <c r="BY78" i="4" a="1"/>
  <c r="BY78" i="4" s="1"/>
  <c r="C40" i="1"/>
  <c r="H42" i="9"/>
  <c r="AX115" i="13"/>
  <c r="A215" i="13"/>
  <c r="BS91" i="4"/>
  <c r="Z96" i="72"/>
  <c r="AX118" i="13"/>
  <c r="A218" i="13"/>
  <c r="I61" i="4"/>
  <c r="CU17" i="4"/>
  <c r="CV17" i="4" s="1"/>
  <c r="AX17" i="4"/>
  <c r="AR26" i="71"/>
  <c r="AR13" i="71"/>
  <c r="AR32" i="71"/>
  <c r="AR16" i="71"/>
  <c r="AR12" i="71"/>
  <c r="AR30" i="71"/>
  <c r="AR20" i="71"/>
  <c r="AR33" i="71"/>
  <c r="AR11" i="71"/>
  <c r="AR34" i="71"/>
  <c r="AR18" i="71"/>
  <c r="AR6" i="71"/>
  <c r="AR22" i="71"/>
  <c r="AR9" i="71"/>
  <c r="AR7" i="71"/>
  <c r="AR10" i="71"/>
  <c r="AR15" i="71"/>
  <c r="AR5" i="71"/>
  <c r="AR28" i="71"/>
  <c r="AR31" i="71"/>
  <c r="AR24" i="71"/>
  <c r="AR8" i="71"/>
  <c r="AR27" i="71"/>
  <c r="AR23" i="71"/>
  <c r="AR4" i="71"/>
  <c r="AR25" i="71"/>
  <c r="AR14" i="71"/>
  <c r="AR19" i="71"/>
  <c r="AR29" i="71"/>
  <c r="AS38" i="71"/>
  <c r="AR21" i="71"/>
  <c r="AR17" i="71"/>
  <c r="A280" i="13"/>
  <c r="AX180" i="13"/>
  <c r="B18" i="4"/>
  <c r="E18" i="4" s="1"/>
  <c r="BA18" i="4" a="1"/>
  <c r="BA18" i="4" s="1"/>
  <c r="BB18" i="4" s="1"/>
  <c r="AV120" i="13" s="1"/>
  <c r="H31" i="9"/>
  <c r="A1214" i="13"/>
  <c r="AX1115" i="13"/>
  <c r="M59" i="4"/>
  <c r="BZ62" i="4" a="1"/>
  <c r="BZ62" i="4" s="1"/>
  <c r="BX62" i="4" s="1" a="1"/>
  <c r="BX62" i="4" s="1"/>
  <c r="BY62" i="4" a="1"/>
  <c r="BY62" i="4" s="1"/>
  <c r="K57" i="4"/>
  <c r="AS57" i="4" s="1"/>
  <c r="AV659" i="13" s="1"/>
  <c r="A89" i="4"/>
  <c r="C73" i="1"/>
  <c r="AX159" i="13"/>
  <c r="A259" i="13"/>
  <c r="AX1187" i="13"/>
  <c r="A1286" i="13"/>
  <c r="AX133" i="13"/>
  <c r="A233" i="13"/>
  <c r="K69" i="4"/>
  <c r="AX1169" i="13"/>
  <c r="A1268" i="13"/>
  <c r="BS67" i="4"/>
  <c r="A58" i="4"/>
  <c r="H24" i="9"/>
  <c r="BA11" i="4" a="1"/>
  <c r="BA11" i="4" s="1"/>
  <c r="BB11" i="4" s="1"/>
  <c r="AV113" i="13" s="1"/>
  <c r="B11" i="4"/>
  <c r="J576" i="15"/>
  <c r="C31" i="1"/>
  <c r="Z3" i="4"/>
  <c r="B37" i="71"/>
  <c r="CV3" i="4"/>
  <c r="B24" i="4"/>
  <c r="BA24" i="4" a="1"/>
  <c r="BA24" i="4" s="1"/>
  <c r="BB24" i="4" s="1"/>
  <c r="AV126" i="13" s="1"/>
  <c r="I71" i="4"/>
  <c r="I83" i="4"/>
  <c r="A68" i="4"/>
  <c r="AX1120" i="13"/>
  <c r="A1219" i="13"/>
  <c r="AX1149" i="13"/>
  <c r="A1248" i="13"/>
  <c r="BA49" i="4" a="1"/>
  <c r="BA49" i="4" s="1"/>
  <c r="BB49" i="4" s="1"/>
  <c r="AV151" i="13" s="1"/>
  <c r="B49" i="4"/>
  <c r="A1247" i="13"/>
  <c r="AX1148" i="13"/>
  <c r="I63" i="4"/>
  <c r="BZ51" i="4" a="1"/>
  <c r="BZ51" i="4" s="1"/>
  <c r="BX51" i="4" s="1" a="1"/>
  <c r="BX51" i="4" s="1"/>
  <c r="BY51" i="4" a="1"/>
  <c r="BY51" i="4" s="1"/>
  <c r="AX35" i="4"/>
  <c r="CU35" i="4"/>
  <c r="CV35" i="4" s="1"/>
  <c r="A1202" i="13"/>
  <c r="AX1103" i="13"/>
  <c r="DA10" i="4" a="1"/>
  <c r="DA10" i="4" s="1"/>
  <c r="E10" i="4"/>
  <c r="DE10" i="4"/>
  <c r="E371" i="15"/>
  <c r="E49" i="15"/>
  <c r="E565" i="15"/>
  <c r="E450" i="15"/>
  <c r="E429" i="15"/>
  <c r="E208" i="15"/>
  <c r="BA26" i="4" a="1"/>
  <c r="BA26" i="4" s="1"/>
  <c r="BB26" i="4" s="1"/>
  <c r="AV128" i="13" s="1"/>
  <c r="B26" i="4"/>
  <c r="A92" i="4"/>
  <c r="C75" i="1"/>
  <c r="I56" i="4"/>
  <c r="AX195" i="13"/>
  <c r="A295" i="13"/>
  <c r="AZ65" i="4"/>
  <c r="T10" i="72"/>
  <c r="BM10" i="72" s="1" a="1"/>
  <c r="BM10" i="72" s="1"/>
  <c r="BV23" i="71"/>
  <c r="AE9" i="72" a="1"/>
  <c r="AE9" i="72" s="1"/>
  <c r="AP9" i="72" s="1" a="1"/>
  <c r="AP9" i="72" s="1"/>
  <c r="R202" i="13" a="1"/>
  <c r="R202" i="13" s="1"/>
  <c r="G9" i="72"/>
  <c r="BJ4" i="71"/>
  <c r="BJ28" i="71"/>
  <c r="J527" i="15"/>
  <c r="DL23" i="71"/>
  <c r="AV105" i="13"/>
  <c r="E3" i="9"/>
  <c r="DD3" i="4" a="1"/>
  <c r="DD3" i="4" s="1"/>
  <c r="M3" i="72"/>
  <c r="M3" i="69"/>
  <c r="T3" i="69"/>
  <c r="T3" i="72"/>
  <c r="CU16" i="4"/>
  <c r="CV16" i="4" s="1"/>
  <c r="AX16" i="4"/>
  <c r="AO31" i="71"/>
  <c r="AO24" i="71"/>
  <c r="AO5" i="71"/>
  <c r="AO29" i="71"/>
  <c r="AO27" i="71"/>
  <c r="AO23" i="71"/>
  <c r="AO30" i="71"/>
  <c r="AO36" i="71"/>
  <c r="AO10" i="71"/>
  <c r="AO20" i="71"/>
  <c r="AO25" i="71"/>
  <c r="AO9" i="71"/>
  <c r="AO35" i="71"/>
  <c r="AO28" i="71"/>
  <c r="AO14" i="71"/>
  <c r="AO11" i="71"/>
  <c r="AO15" i="71"/>
  <c r="AO13" i="71"/>
  <c r="AO12" i="71"/>
  <c r="AO34" i="71"/>
  <c r="AP38" i="71"/>
  <c r="AO32" i="71"/>
  <c r="AO22" i="71"/>
  <c r="AO18" i="71"/>
  <c r="AO26" i="71"/>
  <c r="AO7" i="71"/>
  <c r="AO8" i="71"/>
  <c r="AO16" i="71"/>
  <c r="AO6" i="71"/>
  <c r="AO4" i="71"/>
  <c r="AO19" i="71"/>
  <c r="AO33" i="71"/>
  <c r="AO21" i="71"/>
  <c r="AO17" i="71"/>
  <c r="A1271" i="13"/>
  <c r="AX1172" i="13"/>
  <c r="C54" i="1"/>
  <c r="B91" i="4"/>
  <c r="DE91" i="4" s="1"/>
  <c r="BA91" i="4" a="1"/>
  <c r="BA91" i="4" s="1"/>
  <c r="AX1116" i="13"/>
  <c r="A1215" i="13"/>
  <c r="AX37" i="4"/>
  <c r="CU37" i="4"/>
  <c r="CV37" i="4" s="1"/>
  <c r="CU45" i="4"/>
  <c r="CV45" i="4" s="1"/>
  <c r="AX45" i="4"/>
  <c r="A229" i="13"/>
  <c r="AX129" i="13"/>
  <c r="A61" i="4"/>
  <c r="C17" i="1"/>
  <c r="AX1157" i="13"/>
  <c r="A1256" i="13"/>
  <c r="BA15" i="4" a="1"/>
  <c r="BA15" i="4" s="1"/>
  <c r="BB15" i="4" s="1"/>
  <c r="AV117" i="13" s="1"/>
  <c r="B15" i="4"/>
  <c r="J522" i="15"/>
  <c r="AX190" i="13"/>
  <c r="A290" i="13"/>
  <c r="AX109" i="13"/>
  <c r="A209" i="13"/>
  <c r="I62" i="4"/>
  <c r="C62" i="1"/>
  <c r="K95" i="4"/>
  <c r="I89" i="4"/>
  <c r="K17" i="71"/>
  <c r="AX6" i="4"/>
  <c r="CU6" i="4"/>
  <c r="CV6" i="4" s="1"/>
  <c r="K19" i="71"/>
  <c r="K11" i="71"/>
  <c r="K24" i="71"/>
  <c r="K33" i="71"/>
  <c r="K31" i="71"/>
  <c r="K36" i="71"/>
  <c r="K9" i="71"/>
  <c r="K27" i="71"/>
  <c r="K25" i="71"/>
  <c r="K12" i="71"/>
  <c r="K4" i="71"/>
  <c r="K22" i="71"/>
  <c r="K26" i="71"/>
  <c r="K5" i="71"/>
  <c r="K29" i="71"/>
  <c r="K35" i="71"/>
  <c r="K30" i="71"/>
  <c r="K32" i="71"/>
  <c r="K15" i="71"/>
  <c r="K21" i="71"/>
  <c r="K6" i="71"/>
  <c r="K10" i="71"/>
  <c r="K13" i="71"/>
  <c r="K18" i="71"/>
  <c r="K20" i="71"/>
  <c r="K14" i="71"/>
  <c r="K28" i="71"/>
  <c r="K8" i="71"/>
  <c r="K23" i="71"/>
  <c r="K16" i="71"/>
  <c r="L38" i="71"/>
  <c r="K7" i="71"/>
  <c r="K34" i="71"/>
  <c r="BY6" i="4" a="1"/>
  <c r="BY6" i="4" s="1"/>
  <c r="BZ6" i="4" a="1"/>
  <c r="BZ6" i="4" s="1"/>
  <c r="BX6" i="4" s="1" a="1"/>
  <c r="BX6" i="4" s="1"/>
  <c r="AX38" i="4"/>
  <c r="CU38" i="4"/>
  <c r="CV38" i="4" s="1"/>
  <c r="BS69" i="4"/>
  <c r="C90" i="1"/>
  <c r="K67" i="4"/>
  <c r="BY52" i="4" a="1"/>
  <c r="BY52" i="4" s="1"/>
  <c r="BZ52" i="4" a="1"/>
  <c r="BZ52" i="4" s="1"/>
  <c r="BX52" i="4" s="1" a="1"/>
  <c r="BX52" i="4" s="1"/>
  <c r="AX1167" i="13"/>
  <c r="A1266" i="13"/>
  <c r="AD3" i="4"/>
  <c r="DA3" i="4" a="1"/>
  <c r="DA3" i="4" s="1"/>
  <c r="CU24" i="4"/>
  <c r="CV24" i="4" s="1"/>
  <c r="AX24" i="4"/>
  <c r="K71" i="4"/>
  <c r="C87" i="1"/>
  <c r="BS83" i="4"/>
  <c r="K68" i="4"/>
  <c r="AX23" i="71"/>
  <c r="CU19" i="4"/>
  <c r="CV19" i="4" s="1"/>
  <c r="AX19" i="4"/>
  <c r="AX10" i="71"/>
  <c r="AX33" i="71"/>
  <c r="AX17" i="71"/>
  <c r="AX36" i="71"/>
  <c r="AX18" i="71"/>
  <c r="AX16" i="71"/>
  <c r="AX9" i="71"/>
  <c r="AX21" i="71"/>
  <c r="AX24" i="71"/>
  <c r="AX8" i="71"/>
  <c r="AY38" i="71"/>
  <c r="AX35" i="71"/>
  <c r="AX12" i="71"/>
  <c r="AX4" i="71"/>
  <c r="AX30" i="71"/>
  <c r="AX27" i="71"/>
  <c r="AX28" i="71"/>
  <c r="AX7" i="71"/>
  <c r="AX25" i="71"/>
  <c r="AX31" i="71"/>
  <c r="AX14" i="71"/>
  <c r="AX19" i="71"/>
  <c r="AX11" i="71"/>
  <c r="AX15" i="71"/>
  <c r="AX34" i="71"/>
  <c r="AX32" i="71"/>
  <c r="AX22" i="71"/>
  <c r="AX13" i="71"/>
  <c r="AX29" i="71"/>
  <c r="AX6" i="71"/>
  <c r="AX5" i="71"/>
  <c r="BZ49" i="4" a="1"/>
  <c r="BZ49" i="4" s="1"/>
  <c r="BX49" i="4" s="1" a="1"/>
  <c r="BX49" i="4" s="1"/>
  <c r="BY49" i="4" a="1"/>
  <c r="BY49" i="4" s="1"/>
  <c r="AX1133" i="13"/>
  <c r="A1232" i="13"/>
  <c r="A252" i="13"/>
  <c r="AX152" i="13"/>
  <c r="I95" i="4"/>
  <c r="BY41" i="4" a="1"/>
  <c r="BY41" i="4" s="1"/>
  <c r="BZ41" i="4" a="1"/>
  <c r="BZ41" i="4" s="1"/>
  <c r="BX41" i="4" s="1" a="1"/>
  <c r="BX41" i="4" s="1"/>
  <c r="H53" i="9"/>
  <c r="C93" i="1"/>
  <c r="C35" i="1"/>
  <c r="H37" i="9"/>
  <c r="C44" i="1"/>
  <c r="H44" i="9"/>
  <c r="M92" i="4"/>
  <c r="K70" i="4"/>
  <c r="BY70" i="4" a="1"/>
  <c r="BY70" i="4" s="1"/>
  <c r="BZ70" i="4" a="1"/>
  <c r="BZ70" i="4" s="1"/>
  <c r="BX70" i="4" s="1" a="1"/>
  <c r="BX70" i="4" s="1"/>
  <c r="C34" i="1"/>
  <c r="M56" i="4"/>
  <c r="AX12" i="4"/>
  <c r="CU12" i="4"/>
  <c r="CV12" i="4" s="1"/>
  <c r="AC28" i="71"/>
  <c r="AC35" i="71"/>
  <c r="AC26" i="71"/>
  <c r="AC22" i="71"/>
  <c r="AC24" i="71"/>
  <c r="AC31" i="71"/>
  <c r="AC10" i="71"/>
  <c r="AC20" i="71"/>
  <c r="AC27" i="71"/>
  <c r="AC6" i="71"/>
  <c r="AC14" i="71"/>
  <c r="AC7" i="71"/>
  <c r="AC8" i="71"/>
  <c r="AC32" i="71"/>
  <c r="AC13" i="71"/>
  <c r="AC11" i="71"/>
  <c r="AC19" i="71"/>
  <c r="AC30" i="71"/>
  <c r="AC36" i="71"/>
  <c r="AC33" i="71"/>
  <c r="AC15" i="71"/>
  <c r="AD38" i="71"/>
  <c r="AC18" i="71"/>
  <c r="AC29" i="71"/>
  <c r="AC25" i="71"/>
  <c r="AC9" i="71"/>
  <c r="AC4" i="71"/>
  <c r="AC17" i="71"/>
  <c r="AC16" i="71"/>
  <c r="AC34" i="71"/>
  <c r="AC5" i="71"/>
  <c r="AC21" i="71"/>
  <c r="AC23" i="71"/>
  <c r="AC12" i="71"/>
  <c r="M65" i="4"/>
  <c r="AR36" i="71"/>
  <c r="EY29" i="71"/>
  <c r="AR10" i="72"/>
  <c r="AX20" i="71"/>
  <c r="AN10" i="72"/>
  <c r="R10" i="72"/>
  <c r="BG10" i="72"/>
  <c r="BD10" i="72"/>
  <c r="BQ10" i="72" a="1"/>
  <c r="BQ10" i="72" s="1"/>
  <c r="BP10" i="72"/>
  <c r="BO10" i="72" s="1"/>
  <c r="BR10" i="72" s="1"/>
  <c r="E10" i="72"/>
  <c r="BM24" i="71"/>
  <c r="T10" i="69"/>
  <c r="BN10" i="69" s="1"/>
  <c r="BQ10" i="69"/>
  <c r="N34" i="71"/>
  <c r="C79" i="1"/>
  <c r="A235" i="13"/>
  <c r="AX135" i="13"/>
  <c r="AX178" i="13"/>
  <c r="A278" i="13"/>
  <c r="A1288" i="13"/>
  <c r="AX1189" i="13"/>
  <c r="A247" i="13"/>
  <c r="AX147" i="13"/>
  <c r="H39" i="9"/>
  <c r="AS45" i="4"/>
  <c r="AV647" i="13" s="1"/>
  <c r="AZ61" i="4"/>
  <c r="C61" i="1"/>
  <c r="AX1186" i="13"/>
  <c r="A1285" i="13"/>
  <c r="A1204" i="13"/>
  <c r="AX1105" i="13"/>
  <c r="A223" i="13"/>
  <c r="AX123" i="13"/>
  <c r="C29" i="1"/>
  <c r="BS62" i="4"/>
  <c r="Z96" i="69"/>
  <c r="AX1134" i="13"/>
  <c r="A1233" i="13"/>
  <c r="AZ89" i="4"/>
  <c r="AX1155" i="13"/>
  <c r="A1254" i="13"/>
  <c r="M69" i="4"/>
  <c r="I81" i="4"/>
  <c r="A67" i="4"/>
  <c r="CW3" i="4"/>
  <c r="CX3" i="4" s="1"/>
  <c r="BS71" i="4"/>
  <c r="BY87" i="4" a="1"/>
  <c r="BY87" i="4" s="1"/>
  <c r="BZ87" i="4" a="1"/>
  <c r="BZ87" i="4" s="1"/>
  <c r="BX87" i="4" s="1" a="1"/>
  <c r="BX87" i="4" s="1"/>
  <c r="A83" i="4"/>
  <c r="I68" i="4"/>
  <c r="BZ50" i="4" a="1"/>
  <c r="BZ50" i="4" s="1"/>
  <c r="BX50" i="4" s="1" a="1"/>
  <c r="BX50" i="4" s="1"/>
  <c r="BY50" i="4" a="1"/>
  <c r="BY50" i="4" s="1"/>
  <c r="I86" i="4"/>
  <c r="C86" i="1"/>
  <c r="AS19" i="4"/>
  <c r="AV621" i="13" s="1"/>
  <c r="I58" i="4"/>
  <c r="BZ25" i="4" a="1"/>
  <c r="BZ25" i="4" s="1"/>
  <c r="BX25" i="4" s="1" a="1"/>
  <c r="BX25" i="4" s="1"/>
  <c r="BY25" i="4" a="1"/>
  <c r="BY25" i="4" s="1"/>
  <c r="AX137" i="13"/>
  <c r="A237" i="13"/>
  <c r="AX1142" i="13"/>
  <c r="A1241" i="13"/>
  <c r="AX128" i="13"/>
  <c r="A228" i="13"/>
  <c r="C63" i="1"/>
  <c r="AX1154" i="13"/>
  <c r="A1253" i="13"/>
  <c r="A93" i="4"/>
  <c r="BA35" i="4" a="1"/>
  <c r="BA35" i="4" s="1"/>
  <c r="BB35" i="4" s="1"/>
  <c r="AV137" i="13" s="1"/>
  <c r="B35" i="4"/>
  <c r="BS29" i="71"/>
  <c r="AX26" i="4"/>
  <c r="CU26" i="4"/>
  <c r="CV26" i="4" s="1"/>
  <c r="AZ92" i="4"/>
  <c r="AZ70" i="4"/>
  <c r="C70" i="1"/>
  <c r="H36" i="9"/>
  <c r="BS56" i="4"/>
  <c r="AX134" i="13"/>
  <c r="A234" i="13"/>
  <c r="C12" i="1"/>
  <c r="J647" i="15"/>
  <c r="DU10" i="71"/>
  <c r="J556" i="15"/>
  <c r="BG22" i="71"/>
  <c r="BN9" i="69"/>
  <c r="B9" i="72"/>
  <c r="S10" i="72"/>
  <c r="AI10" i="72" s="1"/>
  <c r="S9" i="69"/>
  <c r="Q58" i="23" a="1"/>
  <c r="Q58" i="23" s="1"/>
  <c r="Q36" i="23" s="1"/>
  <c r="C47" i="1"/>
  <c r="A1276" i="13"/>
  <c r="AX1177" i="13"/>
  <c r="BZ16" i="4" a="1"/>
  <c r="BZ16" i="4" s="1"/>
  <c r="BX16" i="4" s="1" a="1"/>
  <c r="BX16" i="4" s="1"/>
  <c r="BY16" i="4" a="1"/>
  <c r="BY16" i="4" s="1"/>
  <c r="AX145" i="13"/>
  <c r="A245" i="13"/>
  <c r="H18" i="9"/>
  <c r="A1242" i="13"/>
  <c r="AX1143" i="13"/>
  <c r="AX1162" i="13"/>
  <c r="A1261" i="13"/>
  <c r="I88" i="4"/>
  <c r="BY88" i="4" a="1"/>
  <c r="BY88" i="4" s="1"/>
  <c r="BZ88" i="4" a="1"/>
  <c r="BZ88" i="4" s="1"/>
  <c r="BX88" i="4" s="1" a="1"/>
  <c r="BX88" i="4" s="1"/>
  <c r="BZ76" i="4" a="1"/>
  <c r="BZ76" i="4" s="1"/>
  <c r="BX76" i="4" s="1" a="1"/>
  <c r="BX76" i="4" s="1"/>
  <c r="BY76" i="4" a="1"/>
  <c r="BY76" i="4" s="1"/>
  <c r="A1213" i="13"/>
  <c r="AX1114" i="13"/>
  <c r="AS37" i="4"/>
  <c r="AV639" i="13" s="1"/>
  <c r="K61" i="4"/>
  <c r="S92" i="22"/>
  <c r="AZ60" i="4"/>
  <c r="BV60" i="4" a="1"/>
  <c r="BV60" i="4" s="1"/>
  <c r="D60" i="1"/>
  <c r="BU60" i="4" a="1"/>
  <c r="BU60" i="4" s="1"/>
  <c r="M60" i="4"/>
  <c r="D60" i="4"/>
  <c r="A60" i="20"/>
  <c r="C60" i="4"/>
  <c r="I60" i="4"/>
  <c r="K60" i="4"/>
  <c r="A60" i="4"/>
  <c r="BS60" i="4"/>
  <c r="BC60" i="4" a="1"/>
  <c r="BC60" i="4" s="1"/>
  <c r="A62" i="9"/>
  <c r="M62" i="4"/>
  <c r="AX1171" i="13"/>
  <c r="A1270" i="13"/>
  <c r="BY57" i="4" a="1"/>
  <c r="BY57" i="4" s="1"/>
  <c r="BZ57" i="4" a="1"/>
  <c r="BZ57" i="4" s="1"/>
  <c r="BX57" i="4" s="1" a="1"/>
  <c r="BX57" i="4" s="1"/>
  <c r="M94" i="4"/>
  <c r="K89" i="4"/>
  <c r="C38" i="1"/>
  <c r="BY36" i="4" a="1"/>
  <c r="BY36" i="4" s="1"/>
  <c r="BZ36" i="4" a="1"/>
  <c r="BZ36" i="4" s="1"/>
  <c r="BX36" i="4" s="1" a="1"/>
  <c r="BX36" i="4" s="1"/>
  <c r="AX191" i="13"/>
  <c r="A291" i="13"/>
  <c r="A213" i="13"/>
  <c r="AX113" i="13"/>
  <c r="AX150" i="13"/>
  <c r="A250" i="13"/>
  <c r="AX126" i="13"/>
  <c r="A226" i="13"/>
  <c r="M81" i="4"/>
  <c r="AX173" i="13"/>
  <c r="A273" i="13"/>
  <c r="M67" i="4"/>
  <c r="C72" i="1"/>
  <c r="H30" i="9"/>
  <c r="BY66" i="4" a="1"/>
  <c r="BY66" i="4" s="1"/>
  <c r="BZ66" i="4" a="1"/>
  <c r="BZ66" i="4" s="1"/>
  <c r="BX66" i="4" s="1" a="1"/>
  <c r="BX66" i="4" s="1"/>
  <c r="F3" i="4"/>
  <c r="AR3" i="72"/>
  <c r="AM3" i="69"/>
  <c r="AZ71" i="4"/>
  <c r="K87" i="4"/>
  <c r="K83" i="4"/>
  <c r="AX1126" i="13"/>
  <c r="A1225" i="13"/>
  <c r="C68" i="1"/>
  <c r="H52" i="9"/>
  <c r="BS86" i="4"/>
  <c r="AX1181" i="13"/>
  <c r="A1280" i="13"/>
  <c r="A1239" i="13"/>
  <c r="AX1140" i="13"/>
  <c r="BA41" i="4" a="1"/>
  <c r="BA41" i="4" s="1"/>
  <c r="BB41" i="4" s="1"/>
  <c r="AV143" i="13" s="1"/>
  <c r="B41" i="4"/>
  <c r="BA51" i="4" a="1"/>
  <c r="BA51" i="4" s="1"/>
  <c r="BB51" i="4" s="1"/>
  <c r="AV153" i="13" s="1"/>
  <c r="B51" i="4"/>
  <c r="M93" i="4"/>
  <c r="H46" i="9"/>
  <c r="AS44" i="4"/>
  <c r="AV646" i="13" s="1"/>
  <c r="AX165" i="13"/>
  <c r="A265" i="13"/>
  <c r="I92" i="4"/>
  <c r="BS70" i="4"/>
  <c r="AZ56" i="4"/>
  <c r="B10" i="72"/>
  <c r="EY12" i="71"/>
  <c r="M10" i="69"/>
  <c r="S9" i="72"/>
  <c r="AI9" i="72" s="1"/>
  <c r="AH9" i="72"/>
  <c r="S10" i="69"/>
  <c r="B9" i="69"/>
  <c r="V57" i="23" a="1"/>
  <c r="V57" i="23" s="1"/>
  <c r="V35" i="23" s="1"/>
  <c r="H57" i="14" a="1"/>
  <c r="H57" i="14" s="1"/>
  <c r="B43" i="4"/>
  <c r="BA43" i="4" a="1"/>
  <c r="BA43" i="4" s="1"/>
  <c r="BB43" i="4" s="1"/>
  <c r="AV145" i="13" s="1"/>
  <c r="B47" i="4"/>
  <c r="BA47" i="4" a="1"/>
  <c r="BA47" i="4" s="1"/>
  <c r="BB47" i="4" s="1"/>
  <c r="AV149" i="13" s="1"/>
  <c r="E359" i="15"/>
  <c r="E405" i="15"/>
  <c r="E175" i="15"/>
  <c r="E510" i="15"/>
  <c r="E368" i="15"/>
  <c r="DE4" i="4"/>
  <c r="E4" i="4"/>
  <c r="F4" i="4"/>
  <c r="AP4" i="4"/>
  <c r="AV306" i="13" s="1"/>
  <c r="AV406" i="13" s="1"/>
  <c r="A282" i="13"/>
  <c r="AX182" i="13"/>
  <c r="A1230" i="13"/>
  <c r="AX1131" i="13"/>
  <c r="AX1151" i="13"/>
  <c r="A1250" i="13"/>
  <c r="C14" i="1"/>
  <c r="C74" i="1"/>
  <c r="AX156" i="13"/>
  <c r="A256" i="13"/>
  <c r="I84" i="4"/>
  <c r="AS84" i="4" s="1"/>
  <c r="AV686" i="13" s="1"/>
  <c r="K88" i="4"/>
  <c r="C76" i="1"/>
  <c r="BS64" i="4"/>
  <c r="C64" i="1"/>
  <c r="M61" i="4"/>
  <c r="A960" i="13"/>
  <c r="AX960" i="13" s="1"/>
  <c r="AX462" i="13"/>
  <c r="AX1059" i="13"/>
  <c r="A1059" i="13"/>
  <c r="A462" i="13"/>
  <c r="AX662" i="13"/>
  <c r="A761" i="13"/>
  <c r="AX761" i="13" s="1"/>
  <c r="A662" i="13"/>
  <c r="A1158" i="13"/>
  <c r="AX62" i="13"/>
  <c r="A162" i="13"/>
  <c r="A562" i="13"/>
  <c r="AX562" i="13"/>
  <c r="A861" i="13"/>
  <c r="AX861" i="13" s="1"/>
  <c r="BZ15" i="4" a="1"/>
  <c r="BZ15" i="4" s="1"/>
  <c r="BX15" i="4" s="1" a="1"/>
  <c r="BX15" i="4" s="1"/>
  <c r="BY15" i="4" a="1"/>
  <c r="BY15" i="4" s="1"/>
  <c r="BA29" i="4" a="1"/>
  <c r="BA29" i="4" s="1"/>
  <c r="BB29" i="4" s="1"/>
  <c r="AV131" i="13" s="1"/>
  <c r="B29" i="4"/>
  <c r="E216" i="15" s="1"/>
  <c r="A62" i="4"/>
  <c r="CU7" i="4"/>
  <c r="CV7" i="4" s="1"/>
  <c r="AX7" i="4"/>
  <c r="N23" i="71"/>
  <c r="N21" i="71"/>
  <c r="N4" i="71"/>
  <c r="N27" i="71"/>
  <c r="N12" i="71"/>
  <c r="N31" i="71"/>
  <c r="N15" i="71"/>
  <c r="N25" i="71"/>
  <c r="N22" i="71"/>
  <c r="N6" i="71"/>
  <c r="N26" i="71"/>
  <c r="N30" i="71"/>
  <c r="N18" i="71"/>
  <c r="N10" i="71"/>
  <c r="N8" i="71"/>
  <c r="N20" i="71"/>
  <c r="N33" i="71"/>
  <c r="N35" i="71"/>
  <c r="N19" i="71"/>
  <c r="N5" i="71"/>
  <c r="N13" i="71"/>
  <c r="N14" i="71"/>
  <c r="N11" i="71"/>
  <c r="N9" i="71"/>
  <c r="N16" i="71"/>
  <c r="N28" i="71"/>
  <c r="N17" i="71"/>
  <c r="N29" i="71"/>
  <c r="N36" i="71"/>
  <c r="O38" i="71"/>
  <c r="N32" i="71"/>
  <c r="N7" i="71"/>
  <c r="Z95" i="72"/>
  <c r="BZ89" i="4" a="1"/>
  <c r="BZ89" i="4" s="1"/>
  <c r="BX89" i="4" s="1" a="1"/>
  <c r="BX89" i="4" s="1"/>
  <c r="BY89" i="4" a="1"/>
  <c r="BY89" i="4" s="1"/>
  <c r="BD28" i="71"/>
  <c r="CU21" i="4"/>
  <c r="CV21" i="4" s="1"/>
  <c r="AX21" i="4"/>
  <c r="BD15" i="71"/>
  <c r="BD23" i="71"/>
  <c r="BD34" i="71"/>
  <c r="BD11" i="71"/>
  <c r="BD35" i="71"/>
  <c r="BD26" i="71"/>
  <c r="BD10" i="71"/>
  <c r="BD25" i="71"/>
  <c r="BD24" i="71"/>
  <c r="BD14" i="71"/>
  <c r="BD19" i="71"/>
  <c r="BD22" i="71"/>
  <c r="BD13" i="71"/>
  <c r="BD6" i="71"/>
  <c r="BD5" i="71"/>
  <c r="BD7" i="71"/>
  <c r="BD27" i="71"/>
  <c r="BD16" i="71"/>
  <c r="BD31" i="71"/>
  <c r="BE38" i="71"/>
  <c r="BD36" i="71"/>
  <c r="BD9" i="71"/>
  <c r="BD8" i="71"/>
  <c r="BD20" i="71"/>
  <c r="BD32" i="71"/>
  <c r="BD17" i="71"/>
  <c r="BD33" i="71"/>
  <c r="BD12" i="71"/>
  <c r="BD18" i="71"/>
  <c r="BD21" i="71"/>
  <c r="BD29" i="71"/>
  <c r="A1263" i="13"/>
  <c r="AX1164" i="13"/>
  <c r="E36" i="4"/>
  <c r="BD36" i="4" s="1"/>
  <c r="AX1122" i="13"/>
  <c r="A1221" i="13"/>
  <c r="A81" i="4"/>
  <c r="C67" i="1"/>
  <c r="K72" i="4"/>
  <c r="BY72" i="4" a="1"/>
  <c r="BY72" i="4" s="1"/>
  <c r="BZ72" i="4" a="1"/>
  <c r="BZ72" i="4" s="1"/>
  <c r="BX72" i="4" s="1" a="1"/>
  <c r="BX72" i="4" s="1"/>
  <c r="AX1166" i="13"/>
  <c r="A1265" i="13"/>
  <c r="C22" i="1"/>
  <c r="C66" i="1"/>
  <c r="BY11" i="4" a="1"/>
  <c r="BY11" i="4" s="1"/>
  <c r="BZ11" i="4" a="1"/>
  <c r="BZ11" i="4" s="1"/>
  <c r="BX11" i="4" s="1" a="1"/>
  <c r="BX11" i="4" s="1"/>
  <c r="DE31" i="4"/>
  <c r="E31" i="4"/>
  <c r="BD31" i="4" s="1"/>
  <c r="H33" i="9"/>
  <c r="AH3" i="4"/>
  <c r="H26" i="9"/>
  <c r="AX1188" i="13"/>
  <c r="A1287" i="13"/>
  <c r="A71" i="4"/>
  <c r="AZ87" i="4"/>
  <c r="AX127" i="13"/>
  <c r="A227" i="13"/>
  <c r="M83" i="4"/>
  <c r="C50" i="1"/>
  <c r="M86" i="4"/>
  <c r="C25" i="1"/>
  <c r="AX1124" i="13"/>
  <c r="A1223" i="13"/>
  <c r="AX1184" i="13"/>
  <c r="A1283" i="13"/>
  <c r="C51" i="1"/>
  <c r="AS51" i="4"/>
  <c r="AV653" i="13" s="1"/>
  <c r="AX158" i="13"/>
  <c r="A258" i="13"/>
  <c r="BA32" i="4" a="1"/>
  <c r="BA32" i="4" s="1"/>
  <c r="BB32" i="4" s="1"/>
  <c r="AV134" i="13" s="1"/>
  <c r="B32" i="4"/>
  <c r="DE32" i="4" s="1"/>
  <c r="I93" i="4"/>
  <c r="A1209" i="13"/>
  <c r="AX1110" i="13"/>
  <c r="CW10" i="4"/>
  <c r="CX10" i="4" s="1"/>
  <c r="BY92" i="4" a="1"/>
  <c r="BY92" i="4" s="1"/>
  <c r="BZ92" i="4" a="1"/>
  <c r="BZ92" i="4" s="1"/>
  <c r="BX92" i="4" s="1" a="1"/>
  <c r="BX92" i="4" s="1"/>
  <c r="I70" i="4"/>
  <c r="I75" i="4"/>
  <c r="BZ75" i="4" a="1"/>
  <c r="BZ75" i="4" s="1"/>
  <c r="BX75" i="4" s="1" a="1"/>
  <c r="BX75" i="4" s="1"/>
  <c r="BY75" i="4" a="1"/>
  <c r="BY75" i="4" s="1"/>
  <c r="AX1191" i="13"/>
  <c r="A1290" i="13"/>
  <c r="B12" i="4"/>
  <c r="BA12" i="4" a="1"/>
  <c r="BA12" i="4" s="1"/>
  <c r="BB12" i="4" s="1"/>
  <c r="AV114" i="13" s="1"/>
  <c r="C65" i="1"/>
  <c r="AH10" i="72"/>
  <c r="EV24" i="71"/>
  <c r="EG23" i="71"/>
  <c r="AJ9" i="72"/>
  <c r="BE9" i="72"/>
  <c r="AK9" i="72" s="1"/>
  <c r="BF9" i="72"/>
  <c r="CB11" i="71"/>
  <c r="E617" i="15"/>
  <c r="ED12" i="71"/>
  <c r="AU25" i="71"/>
  <c r="AO1197" i="13" a="1"/>
  <c r="AO1197" i="13" s="1"/>
  <c r="AX1178" i="13"/>
  <c r="A1277" i="13"/>
  <c r="AX1145" i="13"/>
  <c r="A1244" i="13"/>
  <c r="BA79" i="4" a="1"/>
  <c r="BA79" i="4" s="1"/>
  <c r="B79" i="4"/>
  <c r="E79" i="4" s="1"/>
  <c r="C43" i="1"/>
  <c r="BZ74" i="4" a="1"/>
  <c r="BZ74" i="4" s="1"/>
  <c r="BX74" i="4" s="1" a="1"/>
  <c r="BX74" i="4" s="1"/>
  <c r="BY74" i="4" a="1"/>
  <c r="BY74" i="4" s="1"/>
  <c r="BS84" i="4"/>
  <c r="E27" i="4"/>
  <c r="BD27" i="4" s="1"/>
  <c r="BS78" i="4"/>
  <c r="AX40" i="4"/>
  <c r="CU40" i="4"/>
  <c r="CV40" i="4" s="1"/>
  <c r="M88" i="4"/>
  <c r="C37" i="1"/>
  <c r="C45" i="1"/>
  <c r="M64" i="4"/>
  <c r="AX1175" i="13"/>
  <c r="A1274" i="13"/>
  <c r="BS61" i="4"/>
  <c r="AD4" i="4"/>
  <c r="AX8" i="4"/>
  <c r="CU8" i="4"/>
  <c r="CV8" i="4" s="1"/>
  <c r="Q16" i="71"/>
  <c r="Q9" i="71"/>
  <c r="Q35" i="71"/>
  <c r="Q20" i="71"/>
  <c r="Q18" i="71"/>
  <c r="Q30" i="71"/>
  <c r="Q31" i="71"/>
  <c r="Q26" i="71"/>
  <c r="Q17" i="71"/>
  <c r="Q23" i="71"/>
  <c r="Q24" i="71"/>
  <c r="Q25" i="71"/>
  <c r="Q6" i="71"/>
  <c r="Q12" i="71"/>
  <c r="Q10" i="71"/>
  <c r="Q19" i="71"/>
  <c r="Q15" i="71"/>
  <c r="Q8" i="71"/>
  <c r="Q29" i="71"/>
  <c r="Q32" i="71"/>
  <c r="Q33" i="71"/>
  <c r="Q36" i="71"/>
  <c r="Q13" i="71"/>
  <c r="Q11" i="71"/>
  <c r="Q7" i="71"/>
  <c r="Q4" i="71"/>
  <c r="Q21" i="71"/>
  <c r="Q5" i="71"/>
  <c r="Q14" i="71"/>
  <c r="Q34" i="71"/>
  <c r="R38" i="71"/>
  <c r="Q22" i="71"/>
  <c r="V96" i="72"/>
  <c r="AX108" i="13"/>
  <c r="A208" i="13"/>
  <c r="K62" i="4"/>
  <c r="BS73" i="4"/>
  <c r="V94" i="69"/>
  <c r="C36" i="1"/>
  <c r="BZ69" i="4" a="1"/>
  <c r="BZ69" i="4" s="1"/>
  <c r="BX69" i="4" s="1" a="1"/>
  <c r="BX69" i="4" s="1"/>
  <c r="BY69" i="4" a="1"/>
  <c r="BY69" i="4" s="1"/>
  <c r="AZ81" i="4"/>
  <c r="K90" i="4"/>
  <c r="BY90" i="4" a="1"/>
  <c r="BY90" i="4" s="1"/>
  <c r="BZ90" i="4" a="1"/>
  <c r="BZ90" i="4" s="1"/>
  <c r="BX90" i="4" s="1" a="1"/>
  <c r="BX90" i="4" s="1"/>
  <c r="BS72" i="4"/>
  <c r="C52" i="1"/>
  <c r="E22" i="4"/>
  <c r="BD22" i="4" s="1"/>
  <c r="AS31" i="4"/>
  <c r="AV633" i="13" s="1"/>
  <c r="A271" i="13"/>
  <c r="AX171" i="13"/>
  <c r="AV605" i="13"/>
  <c r="J3" i="72"/>
  <c r="J3" i="69"/>
  <c r="AS24" i="4"/>
  <c r="AV626" i="13" s="1"/>
  <c r="C24" i="1"/>
  <c r="M71" i="4"/>
  <c r="M87" i="4"/>
  <c r="AZ83" i="4"/>
  <c r="AX1170" i="13"/>
  <c r="A1269" i="13"/>
  <c r="A1249" i="13"/>
  <c r="AX1150" i="13"/>
  <c r="AX50" i="4"/>
  <c r="CU50" i="4"/>
  <c r="CV50" i="4" s="1"/>
  <c r="AX1139" i="13"/>
  <c r="A1238" i="13"/>
  <c r="AZ86" i="4"/>
  <c r="C49" i="1"/>
  <c r="AX144" i="13"/>
  <c r="A244" i="13"/>
  <c r="BY63" i="4" a="1"/>
  <c r="BY63" i="4" s="1"/>
  <c r="BZ63" i="4" a="1"/>
  <c r="BZ63" i="4" s="1"/>
  <c r="BX63" i="4" s="1" a="1"/>
  <c r="BX63" i="4" s="1"/>
  <c r="CU41" i="4"/>
  <c r="CV41" i="4" s="1"/>
  <c r="AX41" i="4"/>
  <c r="BY32" i="4" a="1"/>
  <c r="BY32" i="4" s="1"/>
  <c r="BZ32" i="4" a="1"/>
  <c r="BZ32" i="4" s="1"/>
  <c r="BX32" i="4" s="1" a="1"/>
  <c r="BX32" i="4" s="1"/>
  <c r="BS93" i="4"/>
  <c r="BY44" i="4" a="1"/>
  <c r="BY44" i="4" s="1"/>
  <c r="BZ44" i="4" a="1"/>
  <c r="BZ44" i="4" s="1"/>
  <c r="BX44" i="4" s="1" a="1"/>
  <c r="BX44" i="4" s="1"/>
  <c r="C26" i="1"/>
  <c r="CU42" i="4"/>
  <c r="CV42" i="4" s="1"/>
  <c r="AX42" i="4"/>
  <c r="A70" i="4"/>
  <c r="K75" i="4"/>
  <c r="BZ34" i="4" a="1"/>
  <c r="BZ34" i="4" s="1"/>
  <c r="BX34" i="4" s="1" a="1"/>
  <c r="BX34" i="4" s="1"/>
  <c r="BY34" i="4" a="1"/>
  <c r="BY34" i="4" s="1"/>
  <c r="C58" i="1"/>
  <c r="H14" i="9"/>
  <c r="A248" i="13"/>
  <c r="AX148" i="13"/>
  <c r="AX184" i="13"/>
  <c r="A284" i="13"/>
  <c r="A1217" i="13"/>
  <c r="AX1118" i="13"/>
  <c r="BJ17" i="71"/>
  <c r="B10" i="69"/>
  <c r="U9" i="72" a="1"/>
  <c r="U9" i="72" s="1"/>
  <c r="EM17" i="71"/>
  <c r="BA14" i="4" a="1"/>
  <c r="BA14" i="4" s="1"/>
  <c r="BB14" i="4" s="1"/>
  <c r="AV116" i="13" s="1"/>
  <c r="B14" i="4"/>
  <c r="J526" i="15"/>
  <c r="J585" i="15"/>
  <c r="AX1152" i="13"/>
  <c r="A1251" i="13"/>
  <c r="AS54" i="4"/>
  <c r="AV656" i="13" s="1"/>
  <c r="C78" i="1"/>
  <c r="C91" i="1"/>
  <c r="K76" i="4"/>
  <c r="AZ79" i="4"/>
  <c r="AX155" i="13"/>
  <c r="A255" i="13"/>
  <c r="AS14" i="4"/>
  <c r="AV616" i="13" s="1"/>
  <c r="BS74" i="4"/>
  <c r="BY13" i="4" a="1"/>
  <c r="BY13" i="4" s="1"/>
  <c r="BZ13" i="4" a="1"/>
  <c r="BZ13" i="4" s="1"/>
  <c r="BX13" i="4" s="1" a="1"/>
  <c r="BX13" i="4" s="1"/>
  <c r="A84" i="4"/>
  <c r="A266" i="13"/>
  <c r="AX166" i="13"/>
  <c r="C27" i="1"/>
  <c r="A276" i="13"/>
  <c r="AX176" i="13"/>
  <c r="AZ78" i="4"/>
  <c r="AX117" i="13"/>
  <c r="A217" i="13"/>
  <c r="A88" i="4"/>
  <c r="AX1111" i="13"/>
  <c r="A1210" i="13"/>
  <c r="M76" i="4"/>
  <c r="BY45" i="4" a="1"/>
  <c r="BY45" i="4" s="1"/>
  <c r="BZ45" i="4" a="1"/>
  <c r="BZ45" i="4" s="1"/>
  <c r="BX45" i="4" s="1" a="1"/>
  <c r="BX45" i="4" s="1"/>
  <c r="K64" i="4"/>
  <c r="A279" i="13"/>
  <c r="AX179" i="13"/>
  <c r="B17" i="4"/>
  <c r="BA17" i="4" a="1"/>
  <c r="BA17" i="4" s="1"/>
  <c r="BB17" i="4" s="1"/>
  <c r="AV119" i="13" s="1"/>
  <c r="J485" i="15"/>
  <c r="BZ8" i="4" a="1"/>
  <c r="BZ8" i="4" s="1"/>
  <c r="BX8" i="4" s="1" a="1"/>
  <c r="BX8" i="4" s="1"/>
  <c r="BY8" i="4" a="1"/>
  <c r="BY8" i="4" s="1"/>
  <c r="A261" i="13"/>
  <c r="AX161" i="13"/>
  <c r="A242" i="13"/>
  <c r="AX142" i="13"/>
  <c r="AZ95" i="4"/>
  <c r="BY18" i="4" a="1"/>
  <c r="BY18" i="4" s="1"/>
  <c r="BZ18" i="4" a="1"/>
  <c r="BZ18" i="4" s="1"/>
  <c r="BX18" i="4" s="1" a="1"/>
  <c r="BX18" i="4" s="1"/>
  <c r="CU29" i="4"/>
  <c r="CV29" i="4" s="1"/>
  <c r="AX29" i="4"/>
  <c r="AX163" i="13"/>
  <c r="A263" i="13"/>
  <c r="AX119" i="13"/>
  <c r="A219" i="13"/>
  <c r="AX1106" i="13"/>
  <c r="A1205" i="13"/>
  <c r="AZ62" i="4"/>
  <c r="C57" i="1"/>
  <c r="AX140" i="13"/>
  <c r="A240" i="13"/>
  <c r="C21" i="1"/>
  <c r="A231" i="13"/>
  <c r="AX131" i="13"/>
  <c r="A73" i="4"/>
  <c r="C69" i="1"/>
  <c r="K81" i="4"/>
  <c r="M90" i="4"/>
  <c r="BZ67" i="4" a="1"/>
  <c r="BZ67" i="4" s="1"/>
  <c r="BX67" i="4" s="1" a="1"/>
  <c r="BX67" i="4" s="1"/>
  <c r="BY67" i="4" a="1"/>
  <c r="BY67" i="4" s="1"/>
  <c r="I72" i="4"/>
  <c r="CU22" i="4"/>
  <c r="CV22" i="4" s="1"/>
  <c r="AX22" i="4"/>
  <c r="CW22" i="4"/>
  <c r="CX22" i="4" s="1"/>
  <c r="BG34" i="71"/>
  <c r="BG13" i="71"/>
  <c r="BG29" i="71"/>
  <c r="BG35" i="71"/>
  <c r="BG36" i="71"/>
  <c r="BG27" i="71"/>
  <c r="BG32" i="71"/>
  <c r="BG20" i="71"/>
  <c r="BG7" i="71"/>
  <c r="BG11" i="71"/>
  <c r="BG30" i="71"/>
  <c r="BG25" i="71"/>
  <c r="BH38" i="71"/>
  <c r="BG14" i="71"/>
  <c r="BG8" i="71"/>
  <c r="BG16" i="71"/>
  <c r="BG12" i="71"/>
  <c r="BG18" i="71"/>
  <c r="BG31" i="71"/>
  <c r="BG24" i="71"/>
  <c r="BG28" i="71"/>
  <c r="BG6" i="71"/>
  <c r="BG9" i="71"/>
  <c r="BG10" i="71"/>
  <c r="BG33" i="71"/>
  <c r="BG5" i="71"/>
  <c r="BG26" i="71"/>
  <c r="BG17" i="71"/>
  <c r="BG23" i="71"/>
  <c r="BG19" i="71"/>
  <c r="BG4" i="71"/>
  <c r="BG21" i="71"/>
  <c r="K66" i="4"/>
  <c r="AS66" i="4" s="1"/>
  <c r="AV668" i="13" s="1"/>
  <c r="CU31" i="4"/>
  <c r="CV31" i="4" s="1"/>
  <c r="AX31" i="4"/>
  <c r="CW31" i="4"/>
  <c r="CX31" i="4" s="1"/>
  <c r="C48" i="1"/>
  <c r="BA48" i="4" a="1"/>
  <c r="BA48" i="4" s="1"/>
  <c r="BB48" i="4" s="1"/>
  <c r="AV150" i="13" s="1"/>
  <c r="B48" i="4"/>
  <c r="C71" i="1"/>
  <c r="I87" i="4"/>
  <c r="A230" i="13"/>
  <c r="AX130" i="13"/>
  <c r="A86" i="4"/>
  <c r="J634" i="15"/>
  <c r="B19" i="4"/>
  <c r="BA19" i="4" a="1"/>
  <c r="BA19" i="4" s="1"/>
  <c r="BB19" i="4" s="1"/>
  <c r="AV121" i="13" s="1"/>
  <c r="J569" i="15"/>
  <c r="AW58" i="4"/>
  <c r="AV60" i="13"/>
  <c r="Z1354" i="13"/>
  <c r="AY58" i="4"/>
  <c r="AX25" i="4"/>
  <c r="CU25" i="4"/>
  <c r="CV25" i="4" s="1"/>
  <c r="CW25" i="4"/>
  <c r="CX25" i="4" s="1"/>
  <c r="A285" i="13"/>
  <c r="AX185" i="13"/>
  <c r="C41" i="1"/>
  <c r="K93" i="4"/>
  <c r="K58" i="4"/>
  <c r="AX107" i="13"/>
  <c r="A207" i="13"/>
  <c r="B42" i="4"/>
  <c r="BA42" i="4" a="1"/>
  <c r="BA42" i="4" s="1"/>
  <c r="BB42" i="4" s="1"/>
  <c r="AV144" i="13" s="1"/>
  <c r="M70" i="4"/>
  <c r="M75" i="4"/>
  <c r="AX1255" i="13"/>
  <c r="A1354" i="13"/>
  <c r="A1243" i="13"/>
  <c r="AX1144" i="13"/>
  <c r="BZ65" i="4" a="1"/>
  <c r="BZ65" i="4" s="1"/>
  <c r="BX65" i="4" s="1" a="1"/>
  <c r="BX65" i="4" s="1"/>
  <c r="BY65" i="4" a="1"/>
  <c r="BY65" i="4" s="1"/>
  <c r="U10" i="72" a="1"/>
  <c r="U10" i="72" s="1"/>
  <c r="BD30" i="71"/>
  <c r="Q27" i="71"/>
  <c r="BD9" i="72"/>
  <c r="AN9" i="72"/>
  <c r="R9" i="72"/>
  <c r="BG9" i="72"/>
  <c r="BT9" i="72"/>
  <c r="BM9" i="72" a="1"/>
  <c r="BM9" i="72" s="1"/>
  <c r="BP9" i="72"/>
  <c r="BO9" i="72" s="1"/>
  <c r="BR9" i="72" s="1"/>
  <c r="BQ9" i="72" a="1"/>
  <c r="BQ9" i="72" s="1"/>
  <c r="E9" i="72"/>
  <c r="AY9" i="72" a="1"/>
  <c r="AY9" i="72" s="1"/>
  <c r="AX26" i="71"/>
  <c r="BM9" i="71"/>
  <c r="BZ27" i="4" a="1"/>
  <c r="BZ27" i="4" s="1"/>
  <c r="BX27" i="4" s="1" a="1"/>
  <c r="BX27" i="4" s="1"/>
  <c r="BY27" i="4" a="1"/>
  <c r="BY27" i="4" s="1"/>
  <c r="AX139" i="13"/>
  <c r="A239" i="13"/>
  <c r="AX54" i="4"/>
  <c r="CU54" i="4"/>
  <c r="CV54" i="4" s="1"/>
  <c r="BY91" i="4" a="1"/>
  <c r="BY91" i="4" s="1"/>
  <c r="BZ91" i="4" a="1"/>
  <c r="BZ91" i="4" s="1"/>
  <c r="BX91" i="4" s="1" a="1"/>
  <c r="BX91" i="4" s="1"/>
  <c r="AZ76" i="4"/>
  <c r="A64" i="4"/>
  <c r="BS96" i="4"/>
  <c r="AX1119" i="13"/>
  <c r="A1218" i="13"/>
  <c r="K59" i="4"/>
  <c r="AS59" i="4" s="1"/>
  <c r="AV661" i="13" s="1"/>
  <c r="C59" i="1"/>
  <c r="AZ57" i="4"/>
  <c r="C7" i="1"/>
  <c r="M58" i="4"/>
  <c r="H8" i="9"/>
  <c r="AX1160" i="13"/>
  <c r="A1259" i="13"/>
  <c r="M73" i="4"/>
  <c r="CW4" i="4"/>
  <c r="CX4" i="4" s="1"/>
  <c r="BZ38" i="4" a="1"/>
  <c r="BZ38" i="4" s="1"/>
  <c r="BX38" i="4" s="1" a="1"/>
  <c r="BX38" i="4" s="1"/>
  <c r="BY38" i="4" a="1"/>
  <c r="BY38" i="4" s="1"/>
  <c r="H40" i="9"/>
  <c r="AX1109" i="13"/>
  <c r="A1208" i="13"/>
  <c r="AX1129" i="13"/>
  <c r="A1228" i="13"/>
  <c r="BS81" i="4"/>
  <c r="A90" i="4"/>
  <c r="M72" i="4"/>
  <c r="AX52" i="4"/>
  <c r="CU52" i="4"/>
  <c r="CV52" i="4" s="1"/>
  <c r="AS52" i="4"/>
  <c r="AV654" i="13" s="1"/>
  <c r="BA28" i="4" a="1"/>
  <c r="BA28" i="4" s="1"/>
  <c r="BB28" i="4" s="1"/>
  <c r="AV130" i="13" s="1"/>
  <c r="B28" i="4"/>
  <c r="M66" i="4"/>
  <c r="Z8" i="71"/>
  <c r="AX11" i="4"/>
  <c r="CU11" i="4"/>
  <c r="CV11" i="4" s="1"/>
  <c r="Z14" i="71"/>
  <c r="Z35" i="71"/>
  <c r="Z20" i="71"/>
  <c r="Z7" i="71"/>
  <c r="Z22" i="71"/>
  <c r="Z36" i="71"/>
  <c r="Z9" i="71"/>
  <c r="Z11" i="71"/>
  <c r="Z19" i="71"/>
  <c r="Z18" i="71"/>
  <c r="Z28" i="71"/>
  <c r="Z15" i="71"/>
  <c r="Z30" i="71"/>
  <c r="Z33" i="71"/>
  <c r="Z23" i="71"/>
  <c r="Z21" i="71"/>
  <c r="Z6" i="71"/>
  <c r="Z16" i="71"/>
  <c r="Z27" i="71"/>
  <c r="Z25" i="71"/>
  <c r="Z12" i="71"/>
  <c r="Z24" i="71"/>
  <c r="Z5" i="71"/>
  <c r="Z4" i="71"/>
  <c r="Z10" i="71"/>
  <c r="Z13" i="71"/>
  <c r="Z32" i="71"/>
  <c r="Z29" i="71"/>
  <c r="Z31" i="71"/>
  <c r="Z17" i="71"/>
  <c r="Z26" i="71"/>
  <c r="Z34" i="71"/>
  <c r="AX48" i="4"/>
  <c r="CU48" i="4"/>
  <c r="CV48" i="4" s="1"/>
  <c r="BD3" i="4"/>
  <c r="BZ24" i="4" a="1"/>
  <c r="BZ24" i="4" s="1"/>
  <c r="BX24" i="4" s="1" a="1"/>
  <c r="BX24" i="4" s="1"/>
  <c r="BY24" i="4" a="1"/>
  <c r="BY24" i="4" s="1"/>
  <c r="BS87" i="4"/>
  <c r="BA50" i="4" a="1"/>
  <c r="BA50" i="4" s="1"/>
  <c r="BB50" i="4" s="1"/>
  <c r="AV152" i="13" s="1"/>
  <c r="B50" i="4"/>
  <c r="AV511" i="13"/>
  <c r="DV9" i="4"/>
  <c r="BL9" i="4"/>
  <c r="AZ96" i="4"/>
  <c r="AX143" i="13"/>
  <c r="A243" i="13"/>
  <c r="K86" i="4"/>
  <c r="C19" i="1"/>
  <c r="H51" i="9"/>
  <c r="K63" i="4"/>
  <c r="H43" i="9"/>
  <c r="AX1117" i="13"/>
  <c r="A1216" i="13"/>
  <c r="C32" i="1"/>
  <c r="AZ93" i="4"/>
  <c r="BZ35" i="4" a="1"/>
  <c r="BZ35" i="4" s="1"/>
  <c r="BX35" i="4" s="1" a="1"/>
  <c r="BX35" i="4" s="1"/>
  <c r="BY35" i="4" a="1"/>
  <c r="BY35" i="4" s="1"/>
  <c r="AX44" i="4"/>
  <c r="CU44" i="4"/>
  <c r="CV44" i="4" s="1"/>
  <c r="DV10" i="4"/>
  <c r="AV512" i="13"/>
  <c r="BH10" i="4"/>
  <c r="BA34" i="4" a="1"/>
  <c r="BA34" i="4" s="1"/>
  <c r="BB34" i="4" s="1"/>
  <c r="AV136" i="13" s="1"/>
  <c r="B34" i="4"/>
  <c r="C56" i="1"/>
  <c r="AX1130" i="13"/>
  <c r="A1229" i="13"/>
  <c r="AX1180" i="13"/>
  <c r="A1279" i="13"/>
  <c r="BJ34" i="71"/>
  <c r="J10" i="69"/>
  <c r="AT9" i="69" a="1"/>
  <c r="AT9" i="69" s="1"/>
  <c r="AM9" i="72"/>
  <c r="CZ8" i="71"/>
  <c r="BZ14" i="4" a="1"/>
  <c r="BZ14" i="4" s="1"/>
  <c r="BX14" i="4" s="1" a="1"/>
  <c r="BX14" i="4" s="1"/>
  <c r="BY14" i="4" a="1"/>
  <c r="BY14" i="4" s="1"/>
  <c r="C13" i="1"/>
  <c r="AX149" i="13"/>
  <c r="A249" i="13"/>
  <c r="DD4" i="4" a="1"/>
  <c r="DD4" i="4" s="1"/>
  <c r="A360" i="13"/>
  <c r="AX360" i="13" s="1"/>
  <c r="AX260" i="13"/>
  <c r="AX1300" i="13"/>
  <c r="A1399" i="13"/>
  <c r="B40" i="4"/>
  <c r="E383" i="15" s="1"/>
  <c r="BA40" i="4" a="1"/>
  <c r="BA40" i="4" s="1"/>
  <c r="BB40" i="4" s="1"/>
  <c r="AV142" i="13" s="1"/>
  <c r="H55" i="4"/>
  <c r="A57" i="13"/>
  <c r="A94" i="4"/>
  <c r="A85" i="4"/>
  <c r="M80" i="4"/>
  <c r="I94" i="4"/>
  <c r="I85" i="4"/>
  <c r="I80" i="4"/>
  <c r="C95" i="1"/>
  <c r="BS85" i="4"/>
  <c r="AZ80" i="4"/>
  <c r="AZ85" i="4"/>
  <c r="M95" i="4"/>
  <c r="K80" i="4"/>
  <c r="M85" i="4"/>
  <c r="AZ94" i="4"/>
  <c r="A80" i="4"/>
  <c r="BS80" i="4"/>
  <c r="A82" i="4"/>
  <c r="AZ82" i="4"/>
  <c r="A96" i="4"/>
  <c r="BS82" i="4"/>
  <c r="K94" i="4"/>
  <c r="M82" i="4"/>
  <c r="I82" i="4"/>
  <c r="K85" i="4"/>
  <c r="K82" i="4"/>
  <c r="K96" i="4"/>
  <c r="AS96" i="4" s="1"/>
  <c r="AV698" i="13" s="1"/>
  <c r="I79" i="4"/>
  <c r="AI11" i="71"/>
  <c r="AX14" i="4"/>
  <c r="CU14" i="4"/>
  <c r="CV14" i="4" s="1"/>
  <c r="AI26" i="71"/>
  <c r="AI30" i="71"/>
  <c r="AI27" i="71"/>
  <c r="AI15" i="71"/>
  <c r="AI14" i="71"/>
  <c r="AI9" i="71"/>
  <c r="AI13" i="71"/>
  <c r="AI21" i="71"/>
  <c r="AI6" i="71"/>
  <c r="AI31" i="71"/>
  <c r="AI16" i="71"/>
  <c r="AI20" i="71"/>
  <c r="AI8" i="71"/>
  <c r="AI35" i="71"/>
  <c r="AI18" i="71"/>
  <c r="AJ38" i="71"/>
  <c r="AI5" i="71"/>
  <c r="AI36" i="71"/>
  <c r="AI7" i="71"/>
  <c r="AI12" i="71"/>
  <c r="AI28" i="71"/>
  <c r="AI10" i="71"/>
  <c r="AI29" i="71"/>
  <c r="AI19" i="71"/>
  <c r="AI4" i="71"/>
  <c r="AI25" i="71"/>
  <c r="AI34" i="71"/>
  <c r="AI23" i="71"/>
  <c r="AI22" i="71"/>
  <c r="AI17" i="71"/>
  <c r="AI24" i="71"/>
  <c r="AI33" i="71"/>
  <c r="AI32" i="71"/>
  <c r="AZ74" i="4"/>
  <c r="A1273" i="13"/>
  <c r="AX1174" i="13"/>
  <c r="A1234" i="13"/>
  <c r="AX1135" i="13"/>
  <c r="A77" i="4"/>
  <c r="BY77" i="4" a="1"/>
  <c r="BY77" i="4" s="1"/>
  <c r="BZ77" i="4" a="1"/>
  <c r="BZ77" i="4" s="1"/>
  <c r="BX77" i="4" s="1" a="1"/>
  <c r="BX77" i="4" s="1"/>
  <c r="Z4" i="4"/>
  <c r="BA54" i="4" a="1"/>
  <c r="BA54" i="4" s="1"/>
  <c r="BB54" i="4" s="1"/>
  <c r="AV156" i="13" s="1"/>
  <c r="B54" i="4"/>
  <c r="I78" i="4"/>
  <c r="BZ40" i="4" a="1"/>
  <c r="BZ40" i="4" s="1"/>
  <c r="BX40" i="4" s="1" a="1"/>
  <c r="BX40" i="4" s="1"/>
  <c r="BY40" i="4" a="1"/>
  <c r="BY40" i="4" s="1"/>
  <c r="AZ88" i="4"/>
  <c r="K91" i="4"/>
  <c r="I76" i="4"/>
  <c r="H47" i="9"/>
  <c r="I64" i="4"/>
  <c r="BY61" i="4" a="1"/>
  <c r="BY61" i="4" s="1"/>
  <c r="BZ61" i="4" a="1"/>
  <c r="BZ61" i="4" s="1"/>
  <c r="BX61" i="4" s="1" a="1"/>
  <c r="BX61" i="4" s="1"/>
  <c r="E8" i="4"/>
  <c r="DE8" i="4"/>
  <c r="AX1176" i="13"/>
  <c r="A1275" i="13"/>
  <c r="M96" i="4"/>
  <c r="BS58" i="4"/>
  <c r="A210" i="13"/>
  <c r="AX110" i="13"/>
  <c r="BS59" i="4"/>
  <c r="BS57" i="4"/>
  <c r="BY7" i="4" a="1"/>
  <c r="BY7" i="4" s="1"/>
  <c r="BZ7" i="4" a="1"/>
  <c r="BZ7" i="4" s="1"/>
  <c r="BX7" i="4" s="1" a="1"/>
  <c r="BX7" i="4" s="1"/>
  <c r="A238" i="13"/>
  <c r="AX138" i="13"/>
  <c r="J476" i="15"/>
  <c r="B21" i="4"/>
  <c r="BA21" i="4" a="1"/>
  <c r="BA21" i="4" s="1"/>
  <c r="BB21" i="4" s="1"/>
  <c r="AV123" i="13" s="1"/>
  <c r="J540" i="15"/>
  <c r="J643" i="15"/>
  <c r="J488" i="15"/>
  <c r="J491" i="15"/>
  <c r="A1264" i="13"/>
  <c r="AX1165" i="13"/>
  <c r="A1022" i="13"/>
  <c r="AX1022" i="13"/>
  <c r="AX525" i="13"/>
  <c r="A1121" i="13"/>
  <c r="A724" i="13"/>
  <c r="AX625" i="13"/>
  <c r="A824" i="13"/>
  <c r="AX824" i="13" s="1"/>
  <c r="A425" i="13"/>
  <c r="AX425" i="13"/>
  <c r="A525" i="13"/>
  <c r="A625" i="13"/>
  <c r="A923" i="13"/>
  <c r="AX923" i="13" s="1"/>
  <c r="AX25" i="13"/>
  <c r="A125" i="13"/>
  <c r="C6" i="1"/>
  <c r="AX164" i="13"/>
  <c r="A264" i="13"/>
  <c r="K73" i="4"/>
  <c r="DA4" i="4" a="1"/>
  <c r="DA4" i="4" s="1"/>
  <c r="AS38" i="4"/>
  <c r="AV640" i="13" s="1"/>
  <c r="B38" i="4"/>
  <c r="BA38" i="4" a="1"/>
  <c r="BA38" i="4" s="1"/>
  <c r="BB38" i="4" s="1"/>
  <c r="AV140" i="13" s="1"/>
  <c r="I90" i="4"/>
  <c r="A72" i="4"/>
  <c r="B52" i="4"/>
  <c r="BA52" i="4" a="1"/>
  <c r="BA52" i="4" s="1"/>
  <c r="BB52" i="4" s="1"/>
  <c r="AV154" i="13" s="1"/>
  <c r="AS28" i="4"/>
  <c r="AV630" i="13" s="1"/>
  <c r="A66" i="4"/>
  <c r="AX1179" i="13"/>
  <c r="A1278" i="13"/>
  <c r="BY71" i="4" a="1"/>
  <c r="BY71" i="4" s="1"/>
  <c r="BZ71" i="4" a="1"/>
  <c r="BZ71" i="4" s="1"/>
  <c r="BX71" i="4" s="1" a="1"/>
  <c r="BX71" i="4" s="1"/>
  <c r="A87" i="4"/>
  <c r="AX1147" i="13"/>
  <c r="A1246" i="13"/>
  <c r="AZ58" i="4"/>
  <c r="BY68" i="4" a="1"/>
  <c r="BY68" i="4" s="1"/>
  <c r="BZ68" i="4" a="1"/>
  <c r="BZ68" i="4" s="1"/>
  <c r="BX68" i="4" s="1" a="1"/>
  <c r="BX68" i="4" s="1"/>
  <c r="AX124" i="13"/>
  <c r="A224" i="13"/>
  <c r="F9" i="72"/>
  <c r="F9" i="69"/>
  <c r="C96" i="1"/>
  <c r="BZ86" i="4" a="1"/>
  <c r="BZ86" i="4" s="1"/>
  <c r="BX86" i="4" s="1" a="1"/>
  <c r="BX86" i="4" s="1"/>
  <c r="BY86" i="4" a="1"/>
  <c r="BY86" i="4" s="1"/>
  <c r="H21" i="9"/>
  <c r="H27" i="9"/>
  <c r="BS63" i="4"/>
  <c r="CU51" i="4"/>
  <c r="CV51" i="4" s="1"/>
  <c r="AX51" i="4"/>
  <c r="A221" i="13"/>
  <c r="AX121" i="13"/>
  <c r="C94" i="1"/>
  <c r="AS26" i="4"/>
  <c r="AV628" i="13" s="1"/>
  <c r="BY42" i="4" a="1"/>
  <c r="BY42" i="4" s="1"/>
  <c r="BZ42" i="4" a="1"/>
  <c r="BZ42" i="4" s="1"/>
  <c r="BX42" i="4" s="1" a="1"/>
  <c r="BX42" i="4" s="1"/>
  <c r="AX1161" i="13"/>
  <c r="A1260" i="13"/>
  <c r="A75" i="4"/>
  <c r="CU34" i="4"/>
  <c r="CV34" i="4" s="1"/>
  <c r="AX34" i="4"/>
  <c r="A65" i="4"/>
  <c r="S17" i="4"/>
  <c r="T17" i="4"/>
  <c r="Z1609" i="13"/>
  <c r="J605" i="15"/>
  <c r="G9" i="69"/>
  <c r="DP38" i="71"/>
  <c r="E609" i="15"/>
  <c r="CZ26" i="71"/>
  <c r="BM15" i="71"/>
  <c r="BY33" i="4" a="1"/>
  <c r="BY33" i="4" s="1"/>
  <c r="BZ33" i="4" a="1"/>
  <c r="BZ33" i="4" s="1"/>
  <c r="BX33" i="4" s="1" a="1"/>
  <c r="BX33" i="4" s="1"/>
  <c r="G79" i="4"/>
  <c r="BO79" i="4"/>
  <c r="G90" i="4"/>
  <c r="BO90" i="4"/>
  <c r="BO22" i="4"/>
  <c r="G22" i="4"/>
  <c r="DA22" i="4" s="1" a="1"/>
  <c r="DA22" i="4" s="1"/>
  <c r="G66" i="4"/>
  <c r="BO66" i="4"/>
  <c r="G68" i="4"/>
  <c r="BO68" i="4"/>
  <c r="G86" i="4"/>
  <c r="BO86" i="4"/>
  <c r="BO32" i="4"/>
  <c r="G32" i="4"/>
  <c r="X58" i="72"/>
  <c r="X58" i="69"/>
  <c r="G30" i="4"/>
  <c r="BO30" i="4"/>
  <c r="AX46" i="4"/>
  <c r="CU46" i="4"/>
  <c r="CV46" i="4" s="1"/>
  <c r="C82" i="1"/>
  <c r="C20" i="1"/>
  <c r="C33" i="1"/>
  <c r="AX141" i="13"/>
  <c r="A241" i="13"/>
  <c r="BO29" i="4"/>
  <c r="G29" i="4"/>
  <c r="G71" i="4"/>
  <c r="BO71" i="4"/>
  <c r="BW42" i="4"/>
  <c r="G34" i="4"/>
  <c r="CY34" i="4" s="1"/>
  <c r="CZ34" i="4" s="1"/>
  <c r="BO34" i="4"/>
  <c r="BO46" i="4"/>
  <c r="G46" i="4"/>
  <c r="AX194" i="13"/>
  <c r="A294" i="13"/>
  <c r="BA39" i="4" a="1"/>
  <c r="BA39" i="4" s="1"/>
  <c r="BB39" i="4" s="1"/>
  <c r="AV141" i="13" s="1"/>
  <c r="B39" i="4"/>
  <c r="DE39" i="4" s="1"/>
  <c r="A287" i="13"/>
  <c r="AX187" i="13"/>
  <c r="BO43" i="4"/>
  <c r="G43" i="4"/>
  <c r="BO84" i="4"/>
  <c r="G84" i="4"/>
  <c r="G64" i="4"/>
  <c r="BO64" i="4"/>
  <c r="BW17" i="4"/>
  <c r="BO59" i="4"/>
  <c r="G59" i="4"/>
  <c r="BO57" i="4"/>
  <c r="G57" i="4"/>
  <c r="G89" i="4"/>
  <c r="BO89" i="4"/>
  <c r="G21" i="4"/>
  <c r="BO21" i="4"/>
  <c r="G24" i="4"/>
  <c r="BO24" i="4"/>
  <c r="BO50" i="4"/>
  <c r="G50" i="4"/>
  <c r="G51" i="4"/>
  <c r="DA51" i="4" s="1" a="1"/>
  <c r="DA51" i="4" s="1"/>
  <c r="BO51" i="4"/>
  <c r="BO26" i="4"/>
  <c r="G26" i="4"/>
  <c r="I12" i="7" s="1" a="1"/>
  <c r="I12" i="7" s="1"/>
  <c r="BO39" i="4"/>
  <c r="G39" i="4"/>
  <c r="CY39" i="4" s="1"/>
  <c r="CZ39" i="4" s="1"/>
  <c r="BO82" i="4"/>
  <c r="G82" i="4"/>
  <c r="H29" i="71"/>
  <c r="CU5" i="4"/>
  <c r="AX5" i="4"/>
  <c r="A272" i="13"/>
  <c r="AX172" i="13"/>
  <c r="AX177" i="13"/>
  <c r="A277" i="13"/>
  <c r="CU39" i="4"/>
  <c r="CV39" i="4" s="1"/>
  <c r="AX39" i="4"/>
  <c r="AX1112" i="13"/>
  <c r="A1211" i="13"/>
  <c r="AX1137" i="13"/>
  <c r="A1236" i="13"/>
  <c r="G7" i="4"/>
  <c r="CY7" i="4" s="1"/>
  <c r="CZ7" i="4" s="1"/>
  <c r="BO7" i="4"/>
  <c r="BW6" i="4"/>
  <c r="G69" i="4"/>
  <c r="BO69" i="4"/>
  <c r="BW86" i="4"/>
  <c r="BO35" i="4"/>
  <c r="G35" i="4"/>
  <c r="G42" i="4"/>
  <c r="BO42" i="4"/>
  <c r="BO12" i="4"/>
  <c r="G12" i="4"/>
  <c r="G85" i="4"/>
  <c r="BO85" i="4"/>
  <c r="BW85" i="4"/>
  <c r="AX1190" i="13"/>
  <c r="A1289" i="13"/>
  <c r="C30" i="1"/>
  <c r="BA33" i="4" a="1"/>
  <c r="BA33" i="4" s="1"/>
  <c r="BB33" i="4" s="1"/>
  <c r="AV135" i="13" s="1"/>
  <c r="B33" i="4"/>
  <c r="M9" i="69"/>
  <c r="AV111" i="13"/>
  <c r="C85" i="1"/>
  <c r="G47" i="4"/>
  <c r="BO47" i="4"/>
  <c r="G16" i="4"/>
  <c r="BO16" i="4"/>
  <c r="G19" i="4"/>
  <c r="BO19" i="4"/>
  <c r="BW49" i="4"/>
  <c r="BO25" i="4"/>
  <c r="G25" i="4"/>
  <c r="C80" i="1"/>
  <c r="BY30" i="4" a="1"/>
  <c r="BY30" i="4" s="1"/>
  <c r="BZ30" i="4" a="1"/>
  <c r="BZ30" i="4" s="1"/>
  <c r="BX30" i="4" s="1" a="1"/>
  <c r="BX30" i="4" s="1"/>
  <c r="BY20" i="4" a="1"/>
  <c r="BY20" i="4" s="1"/>
  <c r="BZ20" i="4" a="1"/>
  <c r="BZ20" i="4" s="1"/>
  <c r="BX20" i="4" s="1" a="1"/>
  <c r="BX20" i="4" s="1"/>
  <c r="AX167" i="13"/>
  <c r="A267" i="13"/>
  <c r="E563" i="15"/>
  <c r="E9" i="4"/>
  <c r="DE9" i="4"/>
  <c r="C53" i="1"/>
  <c r="BW77" i="4"/>
  <c r="BO54" i="4"/>
  <c r="G54" i="4"/>
  <c r="BW62" i="4"/>
  <c r="BW19" i="4"/>
  <c r="BW25" i="4"/>
  <c r="G56" i="4"/>
  <c r="BO56" i="4"/>
  <c r="G53" i="4"/>
  <c r="BO53" i="4"/>
  <c r="BW53" i="4"/>
  <c r="H9" i="71"/>
  <c r="AX1132" i="13"/>
  <c r="A1231" i="13"/>
  <c r="BZ80" i="4" a="1"/>
  <c r="BZ80" i="4" s="1"/>
  <c r="BX80" i="4" s="1" a="1"/>
  <c r="BX80" i="4" s="1"/>
  <c r="BY80" i="4" a="1"/>
  <c r="BY80" i="4" s="1"/>
  <c r="B46" i="4"/>
  <c r="BA46" i="4" a="1"/>
  <c r="BA46" i="4" s="1"/>
  <c r="BB46" i="4" s="1"/>
  <c r="AV148" i="13" s="1"/>
  <c r="B30" i="4"/>
  <c r="BA30" i="4" a="1"/>
  <c r="BA30" i="4" s="1"/>
  <c r="BB30" i="4" s="1"/>
  <c r="AV132" i="13" s="1"/>
  <c r="BA36" i="71"/>
  <c r="CU20" i="4"/>
  <c r="CV20" i="4" s="1"/>
  <c r="AX20" i="4"/>
  <c r="K10" i="27"/>
  <c r="A3" i="27"/>
  <c r="A2" i="27"/>
  <c r="BO61" i="4"/>
  <c r="G61" i="4"/>
  <c r="BW18" i="4"/>
  <c r="BW57" i="4"/>
  <c r="BO6" i="4"/>
  <c r="G6" i="4"/>
  <c r="G36" i="4"/>
  <c r="BO36" i="4"/>
  <c r="BO11" i="4"/>
  <c r="G11" i="4"/>
  <c r="BW31" i="4"/>
  <c r="BW48" i="4"/>
  <c r="BO41" i="4"/>
  <c r="G41" i="4"/>
  <c r="BW93" i="4"/>
  <c r="G70" i="4"/>
  <c r="BO70" i="4"/>
  <c r="G75" i="4"/>
  <c r="BO75" i="4"/>
  <c r="BW65" i="4"/>
  <c r="G33" i="4"/>
  <c r="BO33" i="4"/>
  <c r="AX1173" i="13"/>
  <c r="A1272" i="13"/>
  <c r="A236" i="13"/>
  <c r="AX136" i="13"/>
  <c r="H41" i="9"/>
  <c r="H48" i="9"/>
  <c r="H35" i="9"/>
  <c r="BY85" i="4" a="1"/>
  <c r="BY85" i="4" s="1"/>
  <c r="BZ85" i="4" a="1"/>
  <c r="BZ85" i="4" s="1"/>
  <c r="BX85" i="4" s="1" a="1"/>
  <c r="BX85" i="4" s="1"/>
  <c r="G14" i="4"/>
  <c r="BO14" i="4"/>
  <c r="G13" i="4"/>
  <c r="BO13" i="4"/>
  <c r="BO78" i="4"/>
  <c r="G78" i="4"/>
  <c r="BO88" i="4"/>
  <c r="G88" i="4"/>
  <c r="BW15" i="4"/>
  <c r="G18" i="4"/>
  <c r="BO18" i="4"/>
  <c r="BO38" i="4"/>
  <c r="G38" i="4"/>
  <c r="G52" i="4"/>
  <c r="BO52" i="4"/>
  <c r="G48" i="4"/>
  <c r="BO48" i="4"/>
  <c r="BW68" i="4"/>
  <c r="BW34" i="4"/>
  <c r="BZ5" i="4" a="1"/>
  <c r="BZ5" i="4" s="1"/>
  <c r="BX5" i="4" s="1" a="1"/>
  <c r="BX5" i="4" s="1"/>
  <c r="BY5" i="4" a="1"/>
  <c r="BY5" i="4" s="1"/>
  <c r="AX1183" i="13"/>
  <c r="A1282" i="13"/>
  <c r="C46" i="1"/>
  <c r="BW14" i="4"/>
  <c r="G74" i="4"/>
  <c r="BO74" i="4"/>
  <c r="BO27" i="4"/>
  <c r="G27" i="4"/>
  <c r="G40" i="4"/>
  <c r="BO40" i="4"/>
  <c r="G45" i="4"/>
  <c r="DA45" i="4" s="1" a="1"/>
  <c r="DA45" i="4" s="1"/>
  <c r="BO45" i="4"/>
  <c r="G8" i="4"/>
  <c r="BO8" i="4"/>
  <c r="G67" i="4"/>
  <c r="BO67" i="4"/>
  <c r="BO31" i="4"/>
  <c r="G31" i="4"/>
  <c r="G44" i="4"/>
  <c r="DA44" i="4" s="1" a="1"/>
  <c r="DA44" i="4" s="1"/>
  <c r="BO44" i="4"/>
  <c r="G65" i="4"/>
  <c r="BO65" i="4"/>
  <c r="BB9" i="69"/>
  <c r="R9" i="69"/>
  <c r="AY9" i="69"/>
  <c r="BI9" i="69" a="1"/>
  <c r="BI9" i="69" s="1"/>
  <c r="BH9" i="69" a="1"/>
  <c r="BH9" i="69" s="1"/>
  <c r="BO9" i="69"/>
  <c r="BK9" i="69"/>
  <c r="BJ9" i="69" s="1"/>
  <c r="BM9" i="69" s="1"/>
  <c r="BL9" i="69" a="1"/>
  <c r="BL9" i="69" s="1"/>
  <c r="E9" i="69"/>
  <c r="H12" i="71"/>
  <c r="C5" i="1"/>
  <c r="A1267" i="13"/>
  <c r="AX1168" i="13"/>
  <c r="BZ46" i="4" a="1"/>
  <c r="BZ46" i="4" s="1"/>
  <c r="BX46" i="4" s="1" a="1"/>
  <c r="BX46" i="4" s="1"/>
  <c r="BY46" i="4" a="1"/>
  <c r="BY46" i="4" s="1"/>
  <c r="H32" i="9"/>
  <c r="A1262" i="13"/>
  <c r="AX1163" i="13"/>
  <c r="H55" i="9"/>
  <c r="A216" i="13"/>
  <c r="AX116" i="13"/>
  <c r="G77" i="4"/>
  <c r="BO77" i="4"/>
  <c r="BW54" i="4"/>
  <c r="BW78" i="4"/>
  <c r="BW76" i="4"/>
  <c r="BW37" i="4"/>
  <c r="BW64" i="4"/>
  <c r="G15" i="4"/>
  <c r="BO15" i="4"/>
  <c r="G73" i="4"/>
  <c r="BO73" i="4"/>
  <c r="BW67" i="4"/>
  <c r="BO83" i="4"/>
  <c r="G83" i="4"/>
  <c r="BW50" i="4"/>
  <c r="BW32" i="4"/>
  <c r="BO92" i="4"/>
  <c r="G92" i="4"/>
  <c r="G80" i="4"/>
  <c r="BO80" i="4"/>
  <c r="BW82" i="4"/>
  <c r="BW20" i="4"/>
  <c r="G20" i="4"/>
  <c r="CY20" i="4" s="1"/>
  <c r="CZ20" i="4" s="1"/>
  <c r="BO20" i="4"/>
  <c r="J564" i="15"/>
  <c r="BA5" i="4" a="1"/>
  <c r="BA5" i="4" s="1"/>
  <c r="BB5" i="4" s="1"/>
  <c r="B5" i="4"/>
  <c r="C39" i="1"/>
  <c r="AS46" i="4"/>
  <c r="AV648" i="13" s="1"/>
  <c r="BZ82" i="4" a="1"/>
  <c r="BZ82" i="4" s="1"/>
  <c r="BX82" i="4" s="1" a="1"/>
  <c r="BX82" i="4" s="1"/>
  <c r="BY82" i="4" a="1"/>
  <c r="BY82" i="4" s="1"/>
  <c r="CU33" i="4"/>
  <c r="CV33" i="4" s="1"/>
  <c r="AX33" i="4"/>
  <c r="BA53" i="4" a="1"/>
  <c r="BA53" i="4" s="1"/>
  <c r="BB53" i="4" s="1"/>
  <c r="AV155" i="13" s="1"/>
  <c r="B53" i="4"/>
  <c r="BY53" i="4" a="1"/>
  <c r="BY53" i="4" s="1"/>
  <c r="BZ53" i="4" a="1"/>
  <c r="BZ53" i="4" s="1"/>
  <c r="BX53" i="4" s="1" a="1"/>
  <c r="BX53" i="4" s="1"/>
  <c r="BW72" i="4"/>
  <c r="BW51" i="4"/>
  <c r="BW80" i="4"/>
  <c r="BW46" i="4"/>
  <c r="AS39" i="4"/>
  <c r="AV641" i="13" s="1"/>
  <c r="BY39" i="4" a="1"/>
  <c r="BY39" i="4" s="1"/>
  <c r="BZ39" i="4" a="1"/>
  <c r="BZ39" i="4" s="1"/>
  <c r="BX39" i="4" s="1" a="1"/>
  <c r="BX39" i="4" s="1"/>
  <c r="CU30" i="4"/>
  <c r="CV30" i="4" s="1"/>
  <c r="AX30" i="4"/>
  <c r="BA20" i="4" a="1"/>
  <c r="BA20" i="4" s="1"/>
  <c r="BB20" i="4" s="1"/>
  <c r="AV122" i="13" s="1"/>
  <c r="B20" i="4"/>
  <c r="CU53" i="4"/>
  <c r="CV53" i="4" s="1"/>
  <c r="AX53" i="4"/>
  <c r="AS53" i="4"/>
  <c r="AV655" i="13" s="1"/>
  <c r="BW79" i="4"/>
  <c r="BW84" i="4"/>
  <c r="BW16" i="4"/>
  <c r="BO91" i="4"/>
  <c r="G91" i="4"/>
  <c r="BO76" i="4"/>
  <c r="G76" i="4"/>
  <c r="G37" i="4"/>
  <c r="BO37" i="4"/>
  <c r="BO17" i="4"/>
  <c r="G17" i="4"/>
  <c r="BW29" i="4"/>
  <c r="G62" i="4"/>
  <c r="BO62" i="4"/>
  <c r="BW7" i="4"/>
  <c r="BO81" i="4"/>
  <c r="G81" i="4"/>
  <c r="BO72" i="4"/>
  <c r="G72" i="4"/>
  <c r="G28" i="4"/>
  <c r="BO28" i="4"/>
  <c r="BO87" i="4"/>
  <c r="G87" i="4"/>
  <c r="BW83" i="4"/>
  <c r="G49" i="4"/>
  <c r="BO49" i="4"/>
  <c r="BO63" i="4"/>
  <c r="G63" i="4"/>
  <c r="BO93" i="4"/>
  <c r="G93" i="4"/>
  <c r="BW44" i="4"/>
  <c r="BW92" i="4"/>
  <c r="BW75" i="4"/>
  <c r="BO5" i="4"/>
  <c r="G5" i="4"/>
  <c r="BW39" i="4"/>
  <c r="BJ45" i="4" a="1"/>
  <c r="BK45" i="4" a="1"/>
  <c r="BI45" i="4" a="1"/>
  <c r="DF45" i="4" a="1"/>
  <c r="DF26" i="4" a="1"/>
  <c r="BK26" i="4" a="1"/>
  <c r="BJ26" i="4" a="1"/>
  <c r="BI26" i="4" a="1"/>
  <c r="AJ23" i="4" a="1"/>
  <c r="AI23" i="4" a="1"/>
  <c r="AO60" i="4" a="1"/>
  <c r="AN60" i="4" a="1"/>
  <c r="AF60" i="4" a="1"/>
  <c r="AG60" i="4" a="1"/>
  <c r="DF13" i="4" a="1"/>
  <c r="BK13" i="4" a="1"/>
  <c r="BI13" i="4" a="1"/>
  <c r="BJ13" i="4" a="1"/>
  <c r="DF18" i="4" a="1"/>
  <c r="BJ18" i="4" a="1"/>
  <c r="BK18" i="4" a="1"/>
  <c r="BI18" i="4" a="1"/>
  <c r="BK11" i="4" a="1"/>
  <c r="BJ11" i="4" a="1"/>
  <c r="BI11" i="4" a="1"/>
  <c r="DF11" i="4" a="1"/>
  <c r="BJ29" i="4" a="1"/>
  <c r="BK29" i="4" a="1"/>
  <c r="DF29" i="4" a="1"/>
  <c r="BI29" i="4" a="1"/>
  <c r="AN23" i="4" a="1"/>
  <c r="AO23" i="4" a="1"/>
  <c r="DF22" i="4" a="1"/>
  <c r="BJ22" i="4" a="1"/>
  <c r="BK22" i="4" a="1"/>
  <c r="BI22" i="4" a="1"/>
  <c r="BK16" i="4" a="1"/>
  <c r="DF16" i="4" a="1"/>
  <c r="BJ16" i="4" a="1"/>
  <c r="BI16" i="4" a="1"/>
  <c r="BI8" i="4" a="1"/>
  <c r="BJ8" i="4" a="1"/>
  <c r="BK8" i="4" a="1"/>
  <c r="DF8" i="4" a="1"/>
  <c r="BJ41" i="4" a="1"/>
  <c r="BI41" i="4" a="1"/>
  <c r="DF41" i="4" a="1"/>
  <c r="BK41" i="4" a="1"/>
  <c r="AA60" i="4" a="1"/>
  <c r="AB60" i="4" a="1"/>
  <c r="DF27" i="4" a="1"/>
  <c r="BK27" i="4" a="1"/>
  <c r="BJ27" i="4" a="1"/>
  <c r="BI27" i="4" a="1"/>
  <c r="BI6" i="4" a="1"/>
  <c r="BJ6" i="4" a="1"/>
  <c r="DF6" i="4" a="1"/>
  <c r="BK6" i="4" a="1"/>
  <c r="AG23" i="4" a="1"/>
  <c r="AF23" i="4" a="1"/>
  <c r="BJ31" i="4" a="1"/>
  <c r="BK31" i="4" a="1"/>
  <c r="BI31" i="4" a="1"/>
  <c r="DF31" i="4" a="1"/>
  <c r="BJ35" i="4" a="1"/>
  <c r="DF35" i="4" a="1"/>
  <c r="BK35" i="4" a="1"/>
  <c r="BI35" i="4" a="1"/>
  <c r="BJ51" i="4" a="1"/>
  <c r="DF51" i="4" a="1"/>
  <c r="BK51" i="4" a="1"/>
  <c r="BI51" i="4" a="1"/>
  <c r="AA23" i="4" a="1"/>
  <c r="AB23" i="4" a="1"/>
  <c r="AJ60" i="4" a="1"/>
  <c r="AI60" i="4" a="1"/>
  <c r="B23" i="1" a="1"/>
  <c r="BI44" i="4" a="1"/>
  <c r="DF44" i="4" a="1"/>
  <c r="BJ44" i="4" a="1"/>
  <c r="BK44" i="4" a="1"/>
  <c r="BI36" i="4" a="1"/>
  <c r="DF36" i="4" a="1"/>
  <c r="BJ36" i="4" a="1"/>
  <c r="BK36" i="4" a="1"/>
  <c r="DF7" i="4" a="1"/>
  <c r="BK7" i="4" a="1"/>
  <c r="BJ7" i="4" a="1"/>
  <c r="BI7" i="4" a="1"/>
  <c r="DF24" i="4" a="1"/>
  <c r="BI24" i="4" a="1"/>
  <c r="BJ24" i="4" a="1"/>
  <c r="BK24" i="4" a="1"/>
  <c r="DF49" i="4" a="1"/>
  <c r="BI49" i="4" a="1"/>
  <c r="BJ49" i="4" a="1"/>
  <c r="BK49" i="4" a="1"/>
  <c r="BI79" i="4" a="1"/>
  <c r="BJ79" i="4" a="1"/>
  <c r="BK79" i="4" a="1"/>
  <c r="DF79" i="4" a="1"/>
  <c r="DF37" i="4" a="1"/>
  <c r="BI37" i="4" a="1"/>
  <c r="BK37" i="4" a="1"/>
  <c r="BJ37" i="4" a="1"/>
  <c r="BJ25" i="4" a="1"/>
  <c r="BK25" i="4" a="1"/>
  <c r="DF25" i="4" a="1"/>
  <c r="BI25" i="4" a="1"/>
  <c r="BK91" i="4" a="1"/>
  <c r="BI91" i="4" a="1"/>
  <c r="DF91" i="4" a="1"/>
  <c r="BJ91" i="4" a="1"/>
  <c r="BN55" i="4" a="1"/>
  <c r="CG55" i="4" a="1"/>
  <c r="CQ55" i="4"/>
  <c r="CI55" i="4" a="1"/>
  <c r="CE55" i="4" a="1"/>
  <c r="AK55" i="4" a="1"/>
  <c r="AE55" i="4" a="1"/>
  <c r="CK55" i="4" a="1"/>
  <c r="AC55" i="4" a="1"/>
  <c r="CH55" i="4"/>
  <c r="CT55" i="4"/>
  <c r="CL55" i="4" a="1"/>
  <c r="CD55" i="4" a="1"/>
  <c r="CB55" i="4" a="1"/>
  <c r="CJ55" i="4" a="1"/>
  <c r="CF55" i="4" a="1"/>
  <c r="CM55" i="4" a="1"/>
  <c r="CN55" i="4" a="1"/>
  <c r="AM55" i="4" a="1"/>
  <c r="CC55" i="4" a="1"/>
  <c r="BP55" i="4" a="1"/>
  <c r="BK5" i="4" a="1"/>
  <c r="DF5" i="4" a="1"/>
  <c r="BI5" i="4" a="1"/>
  <c r="BJ5" i="4" a="1"/>
  <c r="BI53" i="4" a="1"/>
  <c r="DF53" i="4" a="1"/>
  <c r="BK53" i="4" a="1"/>
  <c r="BJ53" i="4" a="1"/>
  <c r="BI43" i="4" a="1"/>
  <c r="DF43" i="4" a="1"/>
  <c r="BJ43" i="4" a="1"/>
  <c r="BK43" i="4" a="1"/>
  <c r="BJ21" i="4" a="1"/>
  <c r="BI21" i="4" a="1"/>
  <c r="BK21" i="4" a="1"/>
  <c r="DF21" i="4" a="1"/>
  <c r="BJ47" i="4" a="1"/>
  <c r="BI47" i="4" a="1"/>
  <c r="BK47" i="4" a="1"/>
  <c r="DF47" i="4" a="1"/>
  <c r="BJ39" i="4" a="1"/>
  <c r="BI39" i="4" a="1"/>
  <c r="DF39" i="4" a="1"/>
  <c r="BK39" i="4" a="1"/>
  <c r="BJ52" i="4" a="1"/>
  <c r="BI52" i="4" a="1"/>
  <c r="BK52" i="4" a="1"/>
  <c r="DF52" i="4" a="1"/>
  <c r="BI15" i="4" a="1"/>
  <c r="BJ15" i="4" a="1"/>
  <c r="DF15" i="4" a="1"/>
  <c r="BK15" i="4" a="1"/>
  <c r="BK17" i="4" a="1"/>
  <c r="DF17" i="4" a="1"/>
  <c r="BI17" i="4" a="1"/>
  <c r="BJ17" i="4" a="1"/>
  <c r="DF19" i="4" a="1"/>
  <c r="BK19" i="4" a="1"/>
  <c r="BJ19" i="4" a="1"/>
  <c r="BI19" i="4" a="1"/>
  <c r="BI50" i="4" a="1"/>
  <c r="BJ50" i="4" a="1"/>
  <c r="BK50" i="4" a="1"/>
  <c r="DF50" i="4" a="1"/>
  <c r="BK34" i="4" a="1"/>
  <c r="BI34" i="4" a="1"/>
  <c r="DF34" i="4" a="1"/>
  <c r="BJ34" i="4" a="1"/>
  <c r="DF14" i="4" a="1"/>
  <c r="BJ14" i="4" a="1"/>
  <c r="BK14" i="4" a="1"/>
  <c r="BI14" i="4" a="1"/>
  <c r="DF38" i="4" a="1"/>
  <c r="BI38" i="4" a="1"/>
  <c r="BK38" i="4" a="1"/>
  <c r="BJ38" i="4" a="1"/>
  <c r="DF33" i="4" a="1"/>
  <c r="BJ33" i="4" a="1"/>
  <c r="BK33" i="4" a="1"/>
  <c r="BI33" i="4" a="1"/>
  <c r="BK46" i="4" a="1"/>
  <c r="BJ46" i="4" a="1"/>
  <c r="BI46" i="4" a="1"/>
  <c r="DF46" i="4" a="1"/>
  <c r="BI32" i="4" a="1"/>
  <c r="DF32" i="4" a="1"/>
  <c r="BK32" i="4" a="1"/>
  <c r="BJ32" i="4" a="1"/>
  <c r="DF12" i="4" a="1"/>
  <c r="BJ12" i="4" a="1"/>
  <c r="BI12" i="4" a="1"/>
  <c r="BK12" i="4" a="1"/>
  <c r="DF42" i="4" a="1"/>
  <c r="BK42" i="4" a="1"/>
  <c r="BJ42" i="4" a="1"/>
  <c r="BI42" i="4" a="1"/>
  <c r="BK48" i="4" a="1"/>
  <c r="BI48" i="4" a="1"/>
  <c r="BJ48" i="4" a="1"/>
  <c r="DF48" i="4" a="1"/>
  <c r="DF40" i="4" a="1"/>
  <c r="BJ40" i="4" a="1"/>
  <c r="BK40" i="4" a="1"/>
  <c r="BI40" i="4" a="1"/>
  <c r="BI54" i="4" a="1"/>
  <c r="BK54" i="4" a="1"/>
  <c r="BJ54" i="4" a="1"/>
  <c r="DF54" i="4" a="1"/>
  <c r="B60" i="1" a="1"/>
  <c r="BJ28" i="4" a="1"/>
  <c r="BI28" i="4" a="1"/>
  <c r="DF28" i="4" a="1"/>
  <c r="BK28" i="4" a="1"/>
  <c r="BK30" i="4" a="1"/>
  <c r="BI30" i="4" a="1"/>
  <c r="BJ30" i="4" a="1"/>
  <c r="DF30" i="4" a="1"/>
  <c r="BK20" i="4" a="1"/>
  <c r="BI20" i="4" a="1"/>
  <c r="DF20" i="4" a="1"/>
  <c r="BJ20" i="4" a="1"/>
  <c r="CP55" i="4" a="1"/>
  <c r="CO55" i="4" a="1"/>
  <c r="CS55" i="4" a="1"/>
  <c r="CR55" i="4" a="1"/>
  <c r="AS73" i="4" l="1"/>
  <c r="AV675" i="13" s="1"/>
  <c r="I10" i="69"/>
  <c r="DA29" i="4" a="1"/>
  <c r="DA29" i="4" s="1"/>
  <c r="J858" i="15"/>
  <c r="BJ11" i="71"/>
  <c r="CW27" i="4"/>
  <c r="CX27" i="4" s="1"/>
  <c r="BL10" i="4"/>
  <c r="I4" i="72"/>
  <c r="K86" i="9"/>
  <c r="AS86" i="4"/>
  <c r="AV688" i="13" s="1"/>
  <c r="E30" i="4"/>
  <c r="BD30" i="4" s="1"/>
  <c r="J702" i="15"/>
  <c r="F368" i="15" a="1"/>
  <c r="F368" i="15" s="1"/>
  <c r="F358" i="15" a="1"/>
  <c r="F358" i="15" s="1"/>
  <c r="DE25" i="4"/>
  <c r="U10" i="69" a="1"/>
  <c r="U10" i="69" s="1"/>
  <c r="E35" i="4"/>
  <c r="GI10" i="71"/>
  <c r="JC36" i="71"/>
  <c r="HA4" i="71"/>
  <c r="BJ32" i="71"/>
  <c r="BJ14" i="71"/>
  <c r="AX74" i="4"/>
  <c r="JU13" i="71"/>
  <c r="J996" i="15"/>
  <c r="J740" i="15"/>
  <c r="J952" i="15"/>
  <c r="FQ17" i="71"/>
  <c r="GF24" i="71"/>
  <c r="GU8" i="71"/>
  <c r="E745" i="15"/>
  <c r="E964" i="15"/>
  <c r="FH32" i="71"/>
  <c r="JX25" i="71"/>
  <c r="J749" i="15"/>
  <c r="E934" i="15"/>
  <c r="M43" i="9"/>
  <c r="FQ14" i="71"/>
  <c r="DB74" i="4"/>
  <c r="IH20" i="71"/>
  <c r="J959" i="15"/>
  <c r="J678" i="15"/>
  <c r="E807" i="15"/>
  <c r="P94" i="69"/>
  <c r="K10" i="9"/>
  <c r="DA54" i="4" a="1"/>
  <c r="DA54" i="4" s="1"/>
  <c r="E726" i="15"/>
  <c r="J868" i="15"/>
  <c r="JO17" i="71"/>
  <c r="DA42" i="4" a="1"/>
  <c r="DA42" i="4" s="1"/>
  <c r="BC96" i="72"/>
  <c r="EJ19" i="71"/>
  <c r="IT35" i="71"/>
  <c r="J818" i="15"/>
  <c r="FT20" i="71"/>
  <c r="CU74" i="4"/>
  <c r="CV74" i="4" s="1"/>
  <c r="H87" i="9"/>
  <c r="E938" i="15"/>
  <c r="HS15" i="71"/>
  <c r="K88" i="9"/>
  <c r="AS83" i="4"/>
  <c r="AV685" i="13" s="1"/>
  <c r="JL34" i="71"/>
  <c r="E165" i="15"/>
  <c r="AS93" i="4"/>
  <c r="AV695" i="13" s="1"/>
  <c r="DB91" i="4"/>
  <c r="AS75" i="4"/>
  <c r="AV677" i="13" s="1"/>
  <c r="N42" i="9"/>
  <c r="L42" i="9" s="1"/>
  <c r="JL31" i="71"/>
  <c r="IH19" i="71"/>
  <c r="AS81" i="4"/>
  <c r="AV683" i="13" s="1"/>
  <c r="E91" i="4"/>
  <c r="BD91" i="4" s="1"/>
  <c r="BJ9" i="71"/>
  <c r="BJ22" i="71"/>
  <c r="DA14" i="4" a="1"/>
  <c r="DA14" i="4" s="1"/>
  <c r="K94" i="9"/>
  <c r="AS60" i="4"/>
  <c r="AV662" i="13" s="1"/>
  <c r="AS89" i="4"/>
  <c r="AV691" i="13" s="1"/>
  <c r="BJ6" i="71"/>
  <c r="G10" i="69"/>
  <c r="DB57" i="4"/>
  <c r="IQ4" i="71"/>
  <c r="JL18" i="71"/>
  <c r="G10" i="72"/>
  <c r="BJ25" i="71"/>
  <c r="BJ30" i="71"/>
  <c r="BJ5" i="71"/>
  <c r="E285" i="15"/>
  <c r="E16" i="4"/>
  <c r="E567" i="15"/>
  <c r="CW42" i="4"/>
  <c r="CX42" i="4" s="1"/>
  <c r="DE48" i="4"/>
  <c r="DE47" i="4"/>
  <c r="E86" i="15"/>
  <c r="DE5" i="4"/>
  <c r="E819" i="15"/>
  <c r="L95" i="69"/>
  <c r="E870" i="15"/>
  <c r="FK25" i="71"/>
  <c r="J835" i="15"/>
  <c r="GR24" i="71"/>
  <c r="HV8" i="71"/>
  <c r="HY34" i="71"/>
  <c r="N59" i="9"/>
  <c r="L59" i="9" s="1"/>
  <c r="E50" i="4"/>
  <c r="E99" i="15"/>
  <c r="E646" i="15"/>
  <c r="E496" i="15"/>
  <c r="DA41" i="4" a="1"/>
  <c r="DA41" i="4" s="1"/>
  <c r="J930" i="15"/>
  <c r="Q94" i="69"/>
  <c r="N76" i="9"/>
  <c r="L76" i="9" s="1"/>
  <c r="IE34" i="71"/>
  <c r="E962" i="15"/>
  <c r="N94" i="72" a="1"/>
  <c r="N94" i="72" s="1"/>
  <c r="E972" i="15"/>
  <c r="AS63" i="4"/>
  <c r="AV665" i="13" s="1"/>
  <c r="AS58" i="4"/>
  <c r="AV660" i="13" s="1"/>
  <c r="E14" i="4"/>
  <c r="E116" i="15"/>
  <c r="AS71" i="4"/>
  <c r="AV673" i="13" s="1"/>
  <c r="E494" i="15"/>
  <c r="E20" i="4"/>
  <c r="CW30" i="4"/>
  <c r="CX30" i="4" s="1"/>
  <c r="E29" i="4"/>
  <c r="AS69" i="4"/>
  <c r="AV671" i="13" s="1"/>
  <c r="DE53" i="4"/>
  <c r="M96" i="9"/>
  <c r="IZ19" i="71"/>
  <c r="CW49" i="4"/>
  <c r="CX49" i="4" s="1"/>
  <c r="J650" i="15"/>
  <c r="HD13" i="71"/>
  <c r="K13" i="27" a="1"/>
  <c r="K13" i="27" s="1"/>
  <c r="H84" i="9"/>
  <c r="DE33" i="4"/>
  <c r="W94" i="69"/>
  <c r="J771" i="15"/>
  <c r="HJ8" i="71"/>
  <c r="JL19" i="71"/>
  <c r="J732" i="15"/>
  <c r="J754" i="15"/>
  <c r="E465" i="15"/>
  <c r="E779" i="15"/>
  <c r="CW7" i="4"/>
  <c r="CX7" i="4" s="1"/>
  <c r="E772" i="15"/>
  <c r="Y94" i="69"/>
  <c r="HG14" i="71"/>
  <c r="E460" i="15"/>
  <c r="E145" i="15"/>
  <c r="DE11" i="4"/>
  <c r="DE18" i="4"/>
  <c r="F13" i="15"/>
  <c r="M95" i="9"/>
  <c r="E940" i="15"/>
  <c r="JC9" i="71"/>
  <c r="Y95" i="69"/>
  <c r="GO27" i="71"/>
  <c r="EJ15" i="71"/>
  <c r="J851" i="15"/>
  <c r="J687" i="15"/>
  <c r="HG35" i="71"/>
  <c r="IZ35" i="71"/>
  <c r="JC12" i="71"/>
  <c r="E13" i="4"/>
  <c r="E25" i="4"/>
  <c r="E579" i="15"/>
  <c r="AS74" i="4"/>
  <c r="AV676" i="13" s="1"/>
  <c r="E5" i="4"/>
  <c r="BD5" i="4" s="1"/>
  <c r="E109" i="15"/>
  <c r="CW33" i="4"/>
  <c r="CX33" i="4" s="1"/>
  <c r="E46" i="4"/>
  <c r="BT46" i="4" s="1"/>
  <c r="DA30" i="4" a="1"/>
  <c r="DA30" i="4" s="1"/>
  <c r="AS82" i="4"/>
  <c r="AV684" i="13" s="1"/>
  <c r="JY38" i="71"/>
  <c r="BD18" i="4"/>
  <c r="AS23" i="4"/>
  <c r="AV625" i="13" s="1"/>
  <c r="DA53" i="4" a="1"/>
  <c r="DA53" i="4" s="1"/>
  <c r="E139" i="15"/>
  <c r="E385" i="15"/>
  <c r="CW13" i="4"/>
  <c r="CX13" i="4" s="1"/>
  <c r="DA46" i="4" a="1"/>
  <c r="DA46" i="4" s="1"/>
  <c r="H25" i="9"/>
  <c r="U2" i="14"/>
  <c r="AJ44" i="27"/>
  <c r="AJ58" i="27"/>
  <c r="AI47" i="27"/>
  <c r="AJ45" i="27"/>
  <c r="AJ47" i="27"/>
  <c r="AI58" i="27"/>
  <c r="AI45" i="27"/>
  <c r="AJ54" i="27"/>
  <c r="AJ57" i="27"/>
  <c r="AJ46" i="27"/>
  <c r="AJ43" i="27"/>
  <c r="AI54" i="27"/>
  <c r="AI46" i="27"/>
  <c r="AJ53" i="27"/>
  <c r="AI57" i="27"/>
  <c r="AI49" i="27"/>
  <c r="AI43" i="27"/>
  <c r="AJ51" i="27"/>
  <c r="AJ50" i="27"/>
  <c r="AI56" i="27"/>
  <c r="AI48" i="27"/>
  <c r="AI44" i="27"/>
  <c r="AI53" i="27"/>
  <c r="AI50" i="27"/>
  <c r="AJ52" i="27"/>
  <c r="AI51" i="27"/>
  <c r="AJ55" i="27"/>
  <c r="AJ49" i="27"/>
  <c r="AI52" i="27"/>
  <c r="AJ56" i="27"/>
  <c r="AI55" i="27"/>
  <c r="AJ48" i="27"/>
  <c r="AJ37" i="27"/>
  <c r="AJ31" i="27"/>
  <c r="AJ25" i="27"/>
  <c r="AJ29" i="27"/>
  <c r="AI23" i="27"/>
  <c r="AJ28" i="27"/>
  <c r="AI34" i="27"/>
  <c r="AJ27" i="27"/>
  <c r="AI32" i="27"/>
  <c r="AI31" i="27"/>
  <c r="AI25" i="27"/>
  <c r="AJ23" i="27"/>
  <c r="AJ33" i="27"/>
  <c r="AI27" i="27"/>
  <c r="AJ32" i="27"/>
  <c r="AI26" i="27"/>
  <c r="AJ30" i="27"/>
  <c r="AJ24" i="27"/>
  <c r="AI30" i="27"/>
  <c r="AI24" i="27"/>
  <c r="AI29" i="27"/>
  <c r="AJ34" i="27"/>
  <c r="AI28" i="27"/>
  <c r="AI33" i="27"/>
  <c r="AJ26" i="27"/>
  <c r="AE26" i="27"/>
  <c r="AF23" i="27"/>
  <c r="AE22" i="27"/>
  <c r="AF24" i="27"/>
  <c r="AF27" i="27"/>
  <c r="AF25" i="27"/>
  <c r="AE27" i="27"/>
  <c r="AF26" i="27"/>
  <c r="AE25" i="27"/>
  <c r="AE24" i="27"/>
  <c r="AE23" i="27"/>
  <c r="AI38" i="27"/>
  <c r="AJ38" i="27"/>
  <c r="AE35" i="27"/>
  <c r="AE29" i="27"/>
  <c r="AF35" i="27"/>
  <c r="AE42" i="27"/>
  <c r="AF29" i="27"/>
  <c r="AF41" i="27"/>
  <c r="AF42" i="27"/>
  <c r="AF36" i="27"/>
  <c r="AE36" i="27"/>
  <c r="AE30" i="27"/>
  <c r="AF37" i="27"/>
  <c r="AJ39" i="27"/>
  <c r="AE31" i="27"/>
  <c r="AI39" i="27"/>
  <c r="AE32" i="27"/>
  <c r="AE37" i="27"/>
  <c r="AI40" i="27"/>
  <c r="AF30" i="27"/>
  <c r="AJ41" i="27"/>
  <c r="AJ40" i="27"/>
  <c r="AE38" i="27"/>
  <c r="AF31" i="27"/>
  <c r="AI35" i="27"/>
  <c r="AI41" i="27"/>
  <c r="AE33" i="27"/>
  <c r="AJ35" i="27"/>
  <c r="AF38" i="27"/>
  <c r="AF32" i="27"/>
  <c r="AE39" i="27"/>
  <c r="AF33" i="27"/>
  <c r="AE28" i="27"/>
  <c r="AF28" i="27"/>
  <c r="AI36" i="27"/>
  <c r="AF39" i="27"/>
  <c r="AE34" i="27"/>
  <c r="AF34" i="27"/>
  <c r="AI42" i="27"/>
  <c r="AJ36" i="27"/>
  <c r="AE40" i="27"/>
  <c r="AF40" i="27"/>
  <c r="AE41" i="27"/>
  <c r="AJ42" i="27"/>
  <c r="AI37" i="27"/>
  <c r="G4" i="72"/>
  <c r="AO9" i="69" a="1"/>
  <c r="AO9" i="69" s="1"/>
  <c r="AC22" i="27"/>
  <c r="AF22" i="27" s="1"/>
  <c r="AD20" i="27"/>
  <c r="T2" i="14"/>
  <c r="AJ9" i="69" a="1"/>
  <c r="AJ9" i="69" s="1"/>
  <c r="AO10" i="69" a="1"/>
  <c r="AO10" i="69" s="1"/>
  <c r="Z38" i="14"/>
  <c r="AU9" i="69" a="1"/>
  <c r="AU9" i="69" s="1"/>
  <c r="AL9" i="69" a="1"/>
  <c r="AL9" i="69" s="1"/>
  <c r="AX3" i="72" a="1"/>
  <c r="AX3" i="72" s="1"/>
  <c r="AV9" i="69" a="1"/>
  <c r="AV9" i="69" s="1"/>
  <c r="AS9" i="69" a="1"/>
  <c r="AS9" i="69" s="1"/>
  <c r="AG9" i="69" a="1"/>
  <c r="AG9" i="69" s="1"/>
  <c r="AP9" i="69" a="1"/>
  <c r="AP9" i="69" s="1"/>
  <c r="BT20" i="4"/>
  <c r="AK9" i="69" a="1"/>
  <c r="AK9" i="69" s="1"/>
  <c r="DA34" i="4" a="1"/>
  <c r="DA34" i="4" s="1"/>
  <c r="AF9" i="69" a="1"/>
  <c r="AF9" i="69" s="1"/>
  <c r="JX13" i="71"/>
  <c r="J928" i="15"/>
  <c r="FH9" i="71"/>
  <c r="AC96" i="72"/>
  <c r="FK9" i="71"/>
  <c r="JC28" i="71"/>
  <c r="K91" i="9"/>
  <c r="AS78" i="4"/>
  <c r="AV680" i="13" s="1"/>
  <c r="FW9" i="71"/>
  <c r="HJ10" i="71"/>
  <c r="J804" i="15"/>
  <c r="M54" i="9"/>
  <c r="GO34" i="71"/>
  <c r="E47" i="4"/>
  <c r="BD47" i="4" s="1"/>
  <c r="BI10" i="69" a="1"/>
  <c r="BI10" i="69" s="1"/>
  <c r="AH4" i="72"/>
  <c r="BW60" i="4"/>
  <c r="EJ20" i="71"/>
  <c r="FQ16" i="71"/>
  <c r="GO24" i="71"/>
  <c r="K59" i="9"/>
  <c r="E651" i="15"/>
  <c r="K67" i="9"/>
  <c r="HP9" i="71"/>
  <c r="J961" i="15"/>
  <c r="GU33" i="71"/>
  <c r="JU6" i="71"/>
  <c r="IN15" i="71"/>
  <c r="J795" i="15"/>
  <c r="I12" i="15" a="1"/>
  <c r="I12" i="15" s="1"/>
  <c r="H58" i="9"/>
  <c r="JX36" i="71"/>
  <c r="AV1589" i="13"/>
  <c r="AV1688" i="13" s="1"/>
  <c r="E950" i="15"/>
  <c r="JL22" i="71"/>
  <c r="DE49" i="4"/>
  <c r="E248" i="15"/>
  <c r="AX57" i="4"/>
  <c r="GC28" i="71"/>
  <c r="Y95" i="72"/>
  <c r="N36" i="9"/>
  <c r="L36" i="9" s="1"/>
  <c r="AN96" i="69"/>
  <c r="IH6" i="71"/>
  <c r="H65" i="9"/>
  <c r="DE51" i="4"/>
  <c r="DE14" i="4"/>
  <c r="AL8" i="4"/>
  <c r="I8" i="69" s="1"/>
  <c r="IE6" i="71"/>
  <c r="IK30" i="71"/>
  <c r="E647" i="15"/>
  <c r="JI9" i="71"/>
  <c r="E947" i="15"/>
  <c r="HP19" i="71"/>
  <c r="H70" i="9"/>
  <c r="AS61" i="4"/>
  <c r="AV663" i="13" s="1"/>
  <c r="HV9" i="71"/>
  <c r="HG12" i="71"/>
  <c r="J895" i="15"/>
  <c r="IW12" i="71"/>
  <c r="W31" i="22"/>
  <c r="Y31" i="22" s="1"/>
  <c r="CW20" i="4"/>
  <c r="CX20" i="4" s="1"/>
  <c r="F4" i="15"/>
  <c r="E677" i="15"/>
  <c r="GR25" i="71"/>
  <c r="K73" i="9"/>
  <c r="E908" i="15"/>
  <c r="JL7" i="71"/>
  <c r="GY38" i="71"/>
  <c r="J787" i="15"/>
  <c r="IT33" i="71"/>
  <c r="J951" i="15"/>
  <c r="AS56" i="4"/>
  <c r="AV658" i="13" s="1"/>
  <c r="I9" i="15" a="1"/>
  <c r="I9" i="15" s="1"/>
  <c r="E880" i="15"/>
  <c r="GF8" i="71"/>
  <c r="P96" i="69"/>
  <c r="HG31" i="71"/>
  <c r="BD20" i="4"/>
  <c r="HD4" i="71"/>
  <c r="E744" i="15"/>
  <c r="HS26" i="71"/>
  <c r="N573" i="15" a="1"/>
  <c r="N573" i="15" s="1"/>
  <c r="M28" i="9"/>
  <c r="BB94" i="72"/>
  <c r="IE9" i="71"/>
  <c r="E42" i="4"/>
  <c r="BD42" i="4" s="1"/>
  <c r="Q37" i="71"/>
  <c r="GR15" i="71"/>
  <c r="H21" i="7" a="1"/>
  <c r="H21" i="7" s="1"/>
  <c r="E835" i="15"/>
  <c r="HG30" i="71"/>
  <c r="IN21" i="71"/>
  <c r="JI18" i="71"/>
  <c r="E813" i="15"/>
  <c r="HS6" i="71"/>
  <c r="N93" i="9"/>
  <c r="L93" i="9" s="1"/>
  <c r="GL16" i="71"/>
  <c r="E924" i="15"/>
  <c r="IK5" i="71"/>
  <c r="FQ23" i="71"/>
  <c r="E350" i="15"/>
  <c r="AS62" i="4"/>
  <c r="AV664" i="13" s="1"/>
  <c r="AS68" i="4"/>
  <c r="AV670" i="13" s="1"/>
  <c r="BF10" i="72"/>
  <c r="AP10" i="72" a="1"/>
  <c r="AP10" i="72" s="1"/>
  <c r="AE4" i="69" a="1"/>
  <c r="AE4" i="69" s="1"/>
  <c r="BI4" i="69" s="1" a="1"/>
  <c r="BI4" i="69" s="1"/>
  <c r="BS10" i="72"/>
  <c r="CW46" i="4"/>
  <c r="CX46" i="4" s="1"/>
  <c r="DA33" i="4" a="1"/>
  <c r="DA33" i="4" s="1"/>
  <c r="BW23" i="4"/>
  <c r="BT14" i="4"/>
  <c r="BT8" i="4"/>
  <c r="AY4" i="72" a="1"/>
  <c r="AY4" i="72" s="1"/>
  <c r="BT10" i="72"/>
  <c r="BN4" i="69"/>
  <c r="CR55" i="4"/>
  <c r="CS55" i="4"/>
  <c r="CO55" i="4"/>
  <c r="CP55" i="4"/>
  <c r="BJ20" i="4"/>
  <c r="DF20" i="4"/>
  <c r="BI20" i="4"/>
  <c r="BF20" i="4" s="1"/>
  <c r="BK20" i="4"/>
  <c r="DF30" i="4"/>
  <c r="BJ30" i="4"/>
  <c r="BI30" i="4"/>
  <c r="BF30" i="4" s="1"/>
  <c r="BK30" i="4"/>
  <c r="L30" i="4" s="1"/>
  <c r="BK28" i="4"/>
  <c r="DF28" i="4"/>
  <c r="BI28" i="4"/>
  <c r="BJ28" i="4"/>
  <c r="B60" i="1"/>
  <c r="DF54" i="4"/>
  <c r="BJ54" i="4"/>
  <c r="BK54" i="4"/>
  <c r="BI54" i="4"/>
  <c r="BI40" i="4"/>
  <c r="BK40" i="4"/>
  <c r="L40" i="4" s="1"/>
  <c r="CA40" i="4" s="1"/>
  <c r="BJ40" i="4"/>
  <c r="DF40" i="4"/>
  <c r="DF48" i="4"/>
  <c r="BJ48" i="4"/>
  <c r="BI48" i="4"/>
  <c r="BK48" i="4"/>
  <c r="L48" i="4" s="1"/>
  <c r="CA48" i="4" s="1"/>
  <c r="BI42" i="4"/>
  <c r="BJ42" i="4"/>
  <c r="BK42" i="4"/>
  <c r="L42" i="4" s="1"/>
  <c r="DF42" i="4"/>
  <c r="BK12" i="4"/>
  <c r="BI12" i="4"/>
  <c r="BJ12" i="4"/>
  <c r="DF12" i="4"/>
  <c r="BJ32" i="4"/>
  <c r="BK32" i="4"/>
  <c r="L32" i="4" s="1"/>
  <c r="DF32" i="4"/>
  <c r="BI32" i="4"/>
  <c r="DF46" i="4"/>
  <c r="BI46" i="4"/>
  <c r="BJ46" i="4"/>
  <c r="BK46" i="4"/>
  <c r="BI33" i="4"/>
  <c r="BK33" i="4"/>
  <c r="L33" i="4" s="1"/>
  <c r="BJ33" i="4"/>
  <c r="DF33" i="4"/>
  <c r="BJ38" i="4"/>
  <c r="BK38" i="4"/>
  <c r="BI38" i="4"/>
  <c r="DF38" i="4"/>
  <c r="BI14" i="4"/>
  <c r="BF14" i="4" s="1"/>
  <c r="BK14" i="4"/>
  <c r="BJ14" i="4"/>
  <c r="DF14" i="4"/>
  <c r="BJ34" i="4"/>
  <c r="DF34" i="4"/>
  <c r="BI34" i="4"/>
  <c r="BK34" i="4"/>
  <c r="L34" i="4" s="1"/>
  <c r="DF50" i="4"/>
  <c r="BK50" i="4"/>
  <c r="BJ50" i="4"/>
  <c r="BI50" i="4"/>
  <c r="BF50" i="4" s="1"/>
  <c r="BI19" i="4"/>
  <c r="BJ19" i="4"/>
  <c r="BK19" i="4"/>
  <c r="DF19" i="4"/>
  <c r="BJ17" i="4"/>
  <c r="BI17" i="4"/>
  <c r="DF17" i="4"/>
  <c r="BK17" i="4"/>
  <c r="L17" i="4" s="1"/>
  <c r="CA17" i="4" s="1"/>
  <c r="BK15" i="4"/>
  <c r="L15" i="4" s="1"/>
  <c r="DF15" i="4"/>
  <c r="BJ15" i="4"/>
  <c r="BI15" i="4"/>
  <c r="DF52" i="4"/>
  <c r="BK52" i="4"/>
  <c r="BI52" i="4"/>
  <c r="BJ52" i="4"/>
  <c r="BK39" i="4"/>
  <c r="L39" i="4" s="1"/>
  <c r="DF39" i="4"/>
  <c r="BI39" i="4"/>
  <c r="BJ39" i="4"/>
  <c r="DF47" i="4"/>
  <c r="BK47" i="4"/>
  <c r="L47" i="4" s="1"/>
  <c r="CA47" i="4" s="1"/>
  <c r="BI47" i="4"/>
  <c r="BJ47" i="4"/>
  <c r="DF21" i="4"/>
  <c r="BK21" i="4"/>
  <c r="L21" i="4" s="1"/>
  <c r="BI21" i="4"/>
  <c r="BJ21" i="4"/>
  <c r="BK43" i="4"/>
  <c r="L43" i="4" s="1"/>
  <c r="BJ43" i="4"/>
  <c r="DF43" i="4"/>
  <c r="BI43" i="4"/>
  <c r="BJ53" i="4"/>
  <c r="BK53" i="4"/>
  <c r="DF53" i="4"/>
  <c r="BI53" i="4"/>
  <c r="BJ5" i="4"/>
  <c r="BI5" i="4"/>
  <c r="DF5" i="4"/>
  <c r="BK5" i="4"/>
  <c r="L5" i="4" s="1"/>
  <c r="BP55" i="4"/>
  <c r="BP97" i="4" s="1"/>
  <c r="CC55" i="4"/>
  <c r="AM55" i="4"/>
  <c r="CN55" i="4"/>
  <c r="CM55" i="4"/>
  <c r="CF55" i="4"/>
  <c r="CJ55" i="4"/>
  <c r="CB55" i="4"/>
  <c r="CD55" i="4"/>
  <c r="CL55" i="4"/>
  <c r="CT97" i="4"/>
  <c r="AC55" i="4"/>
  <c r="CK55" i="4"/>
  <c r="AE55" i="4"/>
  <c r="AK55" i="4"/>
  <c r="CE55" i="4"/>
  <c r="CI55" i="4"/>
  <c r="CG55" i="4"/>
  <c r="BN55" i="4"/>
  <c r="BJ91" i="4"/>
  <c r="DF91" i="4"/>
  <c r="BI91" i="4"/>
  <c r="BF91" i="4" s="1"/>
  <c r="BK91" i="4"/>
  <c r="L91" i="4" s="1"/>
  <c r="BI25" i="4"/>
  <c r="DF25" i="4"/>
  <c r="BK25" i="4"/>
  <c r="L25" i="4" s="1"/>
  <c r="BJ25" i="4"/>
  <c r="BJ37" i="4"/>
  <c r="BK37" i="4"/>
  <c r="BI37" i="4"/>
  <c r="DF37" i="4"/>
  <c r="DF79" i="4"/>
  <c r="BK79" i="4"/>
  <c r="BJ79" i="4"/>
  <c r="BI79" i="4"/>
  <c r="BF79" i="4" s="1"/>
  <c r="BK49" i="4"/>
  <c r="BJ49" i="4"/>
  <c r="BI49" i="4"/>
  <c r="DF49" i="4"/>
  <c r="BK24" i="4"/>
  <c r="BJ24" i="4"/>
  <c r="BI24" i="4"/>
  <c r="DF24" i="4"/>
  <c r="BI7" i="4"/>
  <c r="BJ7" i="4"/>
  <c r="BK7" i="4"/>
  <c r="DF7" i="4"/>
  <c r="BK36" i="4"/>
  <c r="BJ36" i="4"/>
  <c r="DF36" i="4"/>
  <c r="BI36" i="4"/>
  <c r="BF36" i="4" s="1"/>
  <c r="BK44" i="4"/>
  <c r="BJ44" i="4"/>
  <c r="DF44" i="4"/>
  <c r="BI44" i="4"/>
  <c r="B23" i="1"/>
  <c r="AI60" i="4"/>
  <c r="AJ60" i="4"/>
  <c r="AB23" i="4"/>
  <c r="AA23" i="4"/>
  <c r="DB23" i="4" s="1"/>
  <c r="BI51" i="4"/>
  <c r="BK51" i="4"/>
  <c r="DF51" i="4"/>
  <c r="BJ51" i="4"/>
  <c r="BI35" i="4"/>
  <c r="BF35" i="4" s="1"/>
  <c r="BK35" i="4"/>
  <c r="DF35" i="4"/>
  <c r="BJ35" i="4"/>
  <c r="DF31" i="4"/>
  <c r="BI31" i="4"/>
  <c r="BF31" i="4" s="1"/>
  <c r="BK31" i="4"/>
  <c r="L31" i="4" s="1"/>
  <c r="CA31" i="4" s="1"/>
  <c r="BJ31" i="4"/>
  <c r="AF23" i="4"/>
  <c r="AG23" i="4"/>
  <c r="BK6" i="4"/>
  <c r="DF6" i="4"/>
  <c r="BJ6" i="4"/>
  <c r="BI6" i="4"/>
  <c r="BI27" i="4"/>
  <c r="BF27" i="4" s="1"/>
  <c r="BJ27" i="4"/>
  <c r="BK27" i="4"/>
  <c r="L27" i="4" s="1"/>
  <c r="DF27" i="4"/>
  <c r="AB60" i="4"/>
  <c r="AA60" i="4"/>
  <c r="DB60" i="4" s="1"/>
  <c r="BK41" i="4"/>
  <c r="DF41" i="4"/>
  <c r="BI41" i="4"/>
  <c r="BJ41" i="4"/>
  <c r="DF8" i="4"/>
  <c r="BK8" i="4"/>
  <c r="L8" i="4" s="1"/>
  <c r="BJ8" i="4"/>
  <c r="BI8" i="4"/>
  <c r="BF8" i="4" s="1"/>
  <c r="BI16" i="4"/>
  <c r="BF16" i="4" s="1"/>
  <c r="BJ16" i="4"/>
  <c r="DF16" i="4"/>
  <c r="BK16" i="4"/>
  <c r="BI22" i="4"/>
  <c r="BF22" i="4" s="1"/>
  <c r="BK22" i="4"/>
  <c r="BJ22" i="4"/>
  <c r="DF22" i="4"/>
  <c r="AO23" i="4"/>
  <c r="AN23" i="4"/>
  <c r="BI29" i="4"/>
  <c r="BF29" i="4" s="1"/>
  <c r="DF29" i="4"/>
  <c r="BK29" i="4"/>
  <c r="L29" i="4" s="1"/>
  <c r="BJ29" i="4"/>
  <c r="DF11" i="4"/>
  <c r="BI11" i="4"/>
  <c r="BJ11" i="4"/>
  <c r="BK11" i="4"/>
  <c r="BI18" i="4"/>
  <c r="BF18" i="4" s="1"/>
  <c r="BK18" i="4"/>
  <c r="BJ18" i="4"/>
  <c r="DF18" i="4"/>
  <c r="BJ13" i="4"/>
  <c r="BI13" i="4"/>
  <c r="BK13" i="4"/>
  <c r="DF13" i="4"/>
  <c r="AG60" i="4"/>
  <c r="AF60" i="4"/>
  <c r="AN60" i="4"/>
  <c r="AO60" i="4"/>
  <c r="AI23" i="4"/>
  <c r="AJ23" i="4"/>
  <c r="BI26" i="4"/>
  <c r="BJ26" i="4"/>
  <c r="BK26" i="4"/>
  <c r="L26" i="4" s="1"/>
  <c r="DF26" i="4"/>
  <c r="DF45" i="4"/>
  <c r="BI45" i="4"/>
  <c r="BF45" i="4" s="1"/>
  <c r="BK45" i="4"/>
  <c r="BJ45" i="4"/>
  <c r="BT50" i="4"/>
  <c r="AV51" i="13"/>
  <c r="F49" i="4"/>
  <c r="AW49" i="4"/>
  <c r="AY49" i="4"/>
  <c r="Z1345" i="13"/>
  <c r="AP49" i="4"/>
  <c r="AV351" i="13" s="1"/>
  <c r="AV451" i="13" s="1"/>
  <c r="W72" i="22"/>
  <c r="Y72" i="22" s="1"/>
  <c r="V72" i="22"/>
  <c r="DA49" i="4" a="1"/>
  <c r="DA49" i="4" s="1"/>
  <c r="W94" i="22"/>
  <c r="Y94" i="22" s="1"/>
  <c r="AW62" i="4"/>
  <c r="AY62" i="4"/>
  <c r="Z1358" i="13"/>
  <c r="AV64" i="13"/>
  <c r="CY5" i="4"/>
  <c r="CZ5" i="4" s="1"/>
  <c r="Z1301" i="13"/>
  <c r="AW5" i="4"/>
  <c r="AV7" i="13"/>
  <c r="AY5" i="4"/>
  <c r="F5" i="4"/>
  <c r="AP5" i="4"/>
  <c r="AV307" i="13" s="1"/>
  <c r="AV407" i="13" s="1"/>
  <c r="V15" i="22"/>
  <c r="W15" i="22"/>
  <c r="Y15" i="22" s="1"/>
  <c r="AY87" i="4"/>
  <c r="AW87" i="4"/>
  <c r="AV89" i="13"/>
  <c r="Z1383" i="13"/>
  <c r="DA17" i="4" a="1"/>
  <c r="DA17" i="4" s="1"/>
  <c r="AW17" i="4"/>
  <c r="F17" i="4"/>
  <c r="AY17" i="4"/>
  <c r="Z1313" i="13"/>
  <c r="AV19" i="13"/>
  <c r="AP17" i="4"/>
  <c r="AV319" i="13" s="1"/>
  <c r="AV419" i="13" s="1"/>
  <c r="V68" i="22"/>
  <c r="W68" i="22"/>
  <c r="Y68" i="22" s="1"/>
  <c r="CY17" i="4"/>
  <c r="CZ17" i="4" s="1"/>
  <c r="CY50" i="4"/>
  <c r="CZ50" i="4" s="1"/>
  <c r="AY50" i="4"/>
  <c r="Z1346" i="13"/>
  <c r="AV52" i="13"/>
  <c r="AW50" i="4"/>
  <c r="F50" i="4"/>
  <c r="AP50" i="4"/>
  <c r="AV352" i="13" s="1"/>
  <c r="AV452" i="13" s="1"/>
  <c r="W1" i="14"/>
  <c r="W73" i="22"/>
  <c r="Y73" i="22" s="1"/>
  <c r="V73" i="22"/>
  <c r="S2" i="14"/>
  <c r="AY71" i="4"/>
  <c r="AV73" i="13"/>
  <c r="Z1367" i="13"/>
  <c r="AW71" i="4"/>
  <c r="AW90" i="4"/>
  <c r="Z1386" i="13"/>
  <c r="AY90" i="4"/>
  <c r="AV92" i="13"/>
  <c r="F48" i="4"/>
  <c r="Z1344" i="13"/>
  <c r="AV50" i="13"/>
  <c r="AY48" i="4"/>
  <c r="AW48" i="4"/>
  <c r="AP48" i="4"/>
  <c r="AV350" i="13" s="1"/>
  <c r="AV450" i="13" s="1"/>
  <c r="W70" i="22"/>
  <c r="Y70" i="22" s="1"/>
  <c r="V70" i="22"/>
  <c r="AW78" i="4"/>
  <c r="Z1374" i="13"/>
  <c r="AV80" i="13"/>
  <c r="AY78" i="4"/>
  <c r="B75" i="4"/>
  <c r="E501" i="15" s="1"/>
  <c r="BA75" i="4" a="1"/>
  <c r="BA75" i="4" s="1"/>
  <c r="BB75" i="4" s="1"/>
  <c r="AV177" i="13" s="1"/>
  <c r="AY93" i="4"/>
  <c r="Z1389" i="13"/>
  <c r="AW93" i="4"/>
  <c r="AV95" i="13"/>
  <c r="AW52" i="4"/>
  <c r="AY52" i="4"/>
  <c r="F52" i="4"/>
  <c r="AV54" i="13"/>
  <c r="Z1348" i="13"/>
  <c r="AP52" i="4"/>
  <c r="AV354" i="13" s="1"/>
  <c r="AV454" i="13" s="1"/>
  <c r="W74" i="22"/>
  <c r="Y74" i="22" s="1"/>
  <c r="V74" i="22"/>
  <c r="AX236" i="13"/>
  <c r="A336" i="13"/>
  <c r="AX336" i="13" s="1"/>
  <c r="E39" i="4"/>
  <c r="CY16" i="4"/>
  <c r="CZ16" i="4" s="1"/>
  <c r="F16" i="4"/>
  <c r="AV18" i="13"/>
  <c r="Z1312" i="13"/>
  <c r="AY16" i="4"/>
  <c r="AW16" i="4"/>
  <c r="AP16" i="4"/>
  <c r="AV318" i="13" s="1"/>
  <c r="AV418" i="13" s="1"/>
  <c r="V13" i="22"/>
  <c r="W13" i="22"/>
  <c r="Y13" i="22" s="1"/>
  <c r="DA16" i="4" a="1"/>
  <c r="DA16" i="4" s="1"/>
  <c r="CW16" i="4"/>
  <c r="CX16" i="4" s="1"/>
  <c r="AW69" i="4"/>
  <c r="Z1365" i="13"/>
  <c r="AV71" i="13"/>
  <c r="AY69" i="4"/>
  <c r="F21" i="4"/>
  <c r="Z1317" i="13"/>
  <c r="AY21" i="4"/>
  <c r="AW21" i="4"/>
  <c r="AV23" i="13"/>
  <c r="AP21" i="4"/>
  <c r="AV323" i="13" s="1"/>
  <c r="AV423" i="13" s="1"/>
  <c r="I11" i="7" a="1"/>
  <c r="I11" i="7" s="1"/>
  <c r="H11" i="7" a="1"/>
  <c r="H11" i="7" s="1"/>
  <c r="V30" i="22"/>
  <c r="W30" i="22"/>
  <c r="Y30" i="22" s="1"/>
  <c r="AW43" i="4"/>
  <c r="Z1339" i="13"/>
  <c r="AY43" i="4"/>
  <c r="AV45" i="13"/>
  <c r="F43" i="4"/>
  <c r="AP43" i="4"/>
  <c r="AV345" i="13" s="1"/>
  <c r="AV445" i="13" s="1"/>
  <c r="W61" i="22"/>
  <c r="Y61" i="22" s="1"/>
  <c r="V61" i="22"/>
  <c r="DA43" i="4" a="1"/>
  <c r="DA43" i="4" s="1"/>
  <c r="CY43" i="4"/>
  <c r="CZ43" i="4" s="1"/>
  <c r="Z1377" i="13"/>
  <c r="AY81" i="4"/>
  <c r="AW81" i="4"/>
  <c r="AV83" i="13"/>
  <c r="CY91" i="4"/>
  <c r="CZ91" i="4" s="1"/>
  <c r="F91" i="4"/>
  <c r="AY91" i="4"/>
  <c r="AV93" i="13"/>
  <c r="Z1387" i="13"/>
  <c r="AW91" i="4"/>
  <c r="AP91" i="4"/>
  <c r="AV393" i="13" s="1"/>
  <c r="AV493" i="13" s="1"/>
  <c r="DA91" i="4" a="1"/>
  <c r="DA91" i="4" s="1"/>
  <c r="DE20" i="4"/>
  <c r="E419" i="15"/>
  <c r="AY20" i="4"/>
  <c r="AW20" i="4"/>
  <c r="F20" i="4"/>
  <c r="AV22" i="13"/>
  <c r="Z1316" i="13"/>
  <c r="AP20" i="4"/>
  <c r="AV322" i="13" s="1"/>
  <c r="AV422" i="13" s="1"/>
  <c r="W29" i="22"/>
  <c r="Y29" i="22" s="1"/>
  <c r="V29" i="22"/>
  <c r="A316" i="13"/>
  <c r="AX316" i="13" s="1"/>
  <c r="AX216" i="13"/>
  <c r="CW8" i="4"/>
  <c r="CX8" i="4" s="1"/>
  <c r="AW8" i="4"/>
  <c r="AV10" i="13"/>
  <c r="AY8" i="4"/>
  <c r="Z1304" i="13"/>
  <c r="F8" i="4"/>
  <c r="AP8" i="4"/>
  <c r="AV310" i="13" s="1"/>
  <c r="AV410" i="13" s="1"/>
  <c r="W18" i="22"/>
  <c r="Y18" i="22" s="1"/>
  <c r="V18" i="22"/>
  <c r="AY38" i="4"/>
  <c r="AV40" i="13"/>
  <c r="F38" i="4"/>
  <c r="Z1334" i="13"/>
  <c r="AW38" i="4"/>
  <c r="AP38" i="4"/>
  <c r="AV340" i="13" s="1"/>
  <c r="AV440" i="13" s="1"/>
  <c r="V54" i="22"/>
  <c r="W54" i="22"/>
  <c r="Y54" i="22" s="1"/>
  <c r="CY38" i="4"/>
  <c r="CZ38" i="4" s="1"/>
  <c r="AY13" i="4"/>
  <c r="Z1309" i="13"/>
  <c r="AW13" i="4"/>
  <c r="AV15" i="13"/>
  <c r="F13" i="4"/>
  <c r="AP13" i="4"/>
  <c r="AV315" i="13" s="1"/>
  <c r="AV415" i="13" s="1"/>
  <c r="V24" i="22"/>
  <c r="W24" i="22"/>
  <c r="Y24" i="22" s="1"/>
  <c r="DA13" i="4" a="1"/>
  <c r="DA13" i="4" s="1"/>
  <c r="AX1272" i="13"/>
  <c r="A1371" i="13"/>
  <c r="DE30" i="4"/>
  <c r="E67" i="15"/>
  <c r="AY85" i="4"/>
  <c r="Z1381" i="13"/>
  <c r="AW85" i="4"/>
  <c r="AV87" i="13"/>
  <c r="A377" i="13"/>
  <c r="AX377" i="13" s="1"/>
  <c r="AX277" i="13"/>
  <c r="AV41" i="13"/>
  <c r="Z1335" i="13"/>
  <c r="AY39" i="4"/>
  <c r="AW39" i="4"/>
  <c r="F39" i="4"/>
  <c r="AP39" i="4"/>
  <c r="AV341" i="13" s="1"/>
  <c r="AV441" i="13" s="1"/>
  <c r="W55" i="22"/>
  <c r="Y55" i="22" s="1"/>
  <c r="V55" i="22"/>
  <c r="AV48" i="13"/>
  <c r="AY46" i="4"/>
  <c r="AW46" i="4"/>
  <c r="Z1342" i="13"/>
  <c r="F46" i="4"/>
  <c r="AP46" i="4"/>
  <c r="AV348" i="13" s="1"/>
  <c r="AV448" i="13" s="1"/>
  <c r="V64" i="22"/>
  <c r="W64" i="22"/>
  <c r="Y64" i="22" s="1"/>
  <c r="Z1364" i="13"/>
  <c r="AY68" i="4"/>
  <c r="AW68" i="4"/>
  <c r="AV70" i="13"/>
  <c r="BD8" i="4"/>
  <c r="AX78" i="4"/>
  <c r="CU78" i="4"/>
  <c r="CV78" i="4" s="1"/>
  <c r="DB78" i="4"/>
  <c r="CY78" i="4"/>
  <c r="CZ78" i="4" s="1"/>
  <c r="E882" i="15"/>
  <c r="FZ27" i="71"/>
  <c r="E842" i="15"/>
  <c r="HJ34" i="71"/>
  <c r="E669" i="15"/>
  <c r="J691" i="15"/>
  <c r="GR20" i="71"/>
  <c r="N54" i="9"/>
  <c r="L54" i="9" s="1"/>
  <c r="M9" i="9"/>
  <c r="N29" i="9"/>
  <c r="L29" i="9" s="1"/>
  <c r="HS27" i="71"/>
  <c r="FW29" i="71"/>
  <c r="BM10" i="4"/>
  <c r="BE10" i="4" s="1" a="1"/>
  <c r="BE10" i="4" s="1"/>
  <c r="BD10" i="69"/>
  <c r="BI10" i="72"/>
  <c r="A343" i="13"/>
  <c r="AX343" i="13" s="1"/>
  <c r="AX243" i="13"/>
  <c r="DE28" i="4"/>
  <c r="E28" i="4"/>
  <c r="BT28" i="4" s="1"/>
  <c r="H71" i="9"/>
  <c r="BT18" i="4"/>
  <c r="A339" i="13"/>
  <c r="AX339" i="13" s="1"/>
  <c r="AX239" i="13"/>
  <c r="IW33" i="71"/>
  <c r="M94" i="9"/>
  <c r="J859" i="15"/>
  <c r="E916" i="15"/>
  <c r="IB16" i="71"/>
  <c r="J915" i="15"/>
  <c r="IQ24" i="71"/>
  <c r="GF28" i="71"/>
  <c r="J665" i="15"/>
  <c r="FT17" i="71"/>
  <c r="JO5" i="71"/>
  <c r="CU87" i="4"/>
  <c r="CV87" i="4" s="1"/>
  <c r="AX87" i="4"/>
  <c r="CY87" i="4"/>
  <c r="CZ87" i="4" s="1"/>
  <c r="AX242" i="13"/>
  <c r="A342" i="13"/>
  <c r="AX342" i="13" s="1"/>
  <c r="H80" i="9"/>
  <c r="J684" i="15"/>
  <c r="J985" i="15"/>
  <c r="HP25" i="71"/>
  <c r="FN16" i="71"/>
  <c r="GO18" i="71"/>
  <c r="J730" i="15"/>
  <c r="E732" i="15"/>
  <c r="E969" i="15"/>
  <c r="JU32" i="71"/>
  <c r="M35" i="9"/>
  <c r="HP27" i="71"/>
  <c r="A1376" i="13"/>
  <c r="AX1277" i="13"/>
  <c r="J925" i="15"/>
  <c r="HS18" i="71"/>
  <c r="JC17" i="71"/>
  <c r="IB25" i="71"/>
  <c r="IK34" i="71"/>
  <c r="K36" i="9"/>
  <c r="IB7" i="71"/>
  <c r="J773" i="15"/>
  <c r="K98" i="9"/>
  <c r="HM36" i="71"/>
  <c r="A1322" i="13"/>
  <c r="AX1223" i="13"/>
  <c r="BT29" i="4"/>
  <c r="BT4" i="4"/>
  <c r="BD4" i="4"/>
  <c r="K57" i="9"/>
  <c r="J743" i="15"/>
  <c r="M62" i="9"/>
  <c r="IK11" i="71"/>
  <c r="N66" i="9"/>
  <c r="L66" i="9" s="1"/>
  <c r="AS87" i="4"/>
  <c r="AV689" i="13" s="1"/>
  <c r="C60" i="1"/>
  <c r="H90" i="9"/>
  <c r="CU88" i="4"/>
  <c r="CV88" i="4" s="1"/>
  <c r="AX88" i="4"/>
  <c r="CY88" i="4"/>
  <c r="CZ88" i="4" s="1"/>
  <c r="DB88" i="4"/>
  <c r="HV31" i="71"/>
  <c r="K42" i="9"/>
  <c r="IH34" i="71"/>
  <c r="JF17" i="71"/>
  <c r="E932" i="15"/>
  <c r="IQ13" i="71"/>
  <c r="JR14" i="71"/>
  <c r="A335" i="13"/>
  <c r="AX335" i="13" s="1"/>
  <c r="AX235" i="13"/>
  <c r="FW16" i="71"/>
  <c r="JF22" i="71"/>
  <c r="IH33" i="71"/>
  <c r="GR32" i="71"/>
  <c r="HA20" i="71"/>
  <c r="W95" i="22"/>
  <c r="Y95" i="22" s="1"/>
  <c r="AV65" i="13"/>
  <c r="AY63" i="4"/>
  <c r="Z1359" i="13"/>
  <c r="AW63" i="4"/>
  <c r="AY73" i="4"/>
  <c r="AW73" i="4"/>
  <c r="Z1369" i="13"/>
  <c r="AV75" i="13"/>
  <c r="AW53" i="4"/>
  <c r="Z1349" i="13"/>
  <c r="AY53" i="4"/>
  <c r="F53" i="4"/>
  <c r="AV55" i="13"/>
  <c r="AP53" i="4"/>
  <c r="AV355" i="13" s="1"/>
  <c r="AV455" i="13" s="1"/>
  <c r="W36" i="22"/>
  <c r="Y36" i="22" s="1"/>
  <c r="V36" i="22"/>
  <c r="CY47" i="4"/>
  <c r="CZ47" i="4" s="1"/>
  <c r="AW47" i="4"/>
  <c r="AV49" i="13"/>
  <c r="Z1343" i="13"/>
  <c r="AY47" i="4"/>
  <c r="F47" i="4"/>
  <c r="AP47" i="4"/>
  <c r="AV349" i="13" s="1"/>
  <c r="AV449" i="13" s="1"/>
  <c r="V69" i="22"/>
  <c r="W69" i="22"/>
  <c r="Y69" i="22" s="1"/>
  <c r="DA47" i="4" a="1"/>
  <c r="DA47" i="4" s="1"/>
  <c r="Z1385" i="13"/>
  <c r="AW89" i="4"/>
  <c r="AV91" i="13"/>
  <c r="AY89" i="4"/>
  <c r="B65" i="4"/>
  <c r="F65" i="4" s="1"/>
  <c r="BA65" i="4" a="1"/>
  <c r="BA65" i="4" s="1"/>
  <c r="BB65" i="4" s="1"/>
  <c r="AV167" i="13" s="1"/>
  <c r="AX125" i="13"/>
  <c r="DD27" i="4" s="1" a="1"/>
  <c r="DD27" i="4" s="1"/>
  <c r="A225" i="13"/>
  <c r="A338" i="13"/>
  <c r="AX338" i="13" s="1"/>
  <c r="AX238" i="13"/>
  <c r="E54" i="4"/>
  <c r="BT54" i="4" s="1"/>
  <c r="DE54" i="4"/>
  <c r="E570" i="15"/>
  <c r="AS94" i="4"/>
  <c r="AV696" i="13" s="1"/>
  <c r="DE40" i="4"/>
  <c r="E639" i="15"/>
  <c r="E607" i="15"/>
  <c r="E40" i="4"/>
  <c r="BT40" i="4" s="1"/>
  <c r="E123" i="15"/>
  <c r="E456" i="15"/>
  <c r="E530" i="15"/>
  <c r="E347" i="15"/>
  <c r="E644" i="15"/>
  <c r="HV5" i="71"/>
  <c r="FK5" i="71"/>
  <c r="E777" i="15"/>
  <c r="E707" i="15"/>
  <c r="J821" i="15"/>
  <c r="FN30" i="71"/>
  <c r="HA31" i="71"/>
  <c r="E988" i="15"/>
  <c r="GL10" i="71"/>
  <c r="E587" i="15"/>
  <c r="J700" i="15"/>
  <c r="Q96" i="72"/>
  <c r="AX1216" i="13"/>
  <c r="A1315" i="13"/>
  <c r="AX1228" i="13"/>
  <c r="A1327" i="13"/>
  <c r="HD17" i="71"/>
  <c r="JU5" i="71"/>
  <c r="GC9" i="71"/>
  <c r="J911" i="15"/>
  <c r="HP32" i="71"/>
  <c r="J608" i="15"/>
  <c r="HQ38" i="71"/>
  <c r="FN35" i="71"/>
  <c r="E663" i="15"/>
  <c r="FQ7" i="71"/>
  <c r="E728" i="15"/>
  <c r="AN94" i="69"/>
  <c r="B73" i="4"/>
  <c r="AP73" i="4" s="1"/>
  <c r="AV375" i="13" s="1"/>
  <c r="AV475" i="13" s="1"/>
  <c r="BA73" i="4" a="1"/>
  <c r="BA73" i="4" s="1"/>
  <c r="BB73" i="4" s="1"/>
  <c r="AV175" i="13" s="1"/>
  <c r="A363" i="13"/>
  <c r="AX363" i="13" s="1"/>
  <c r="AX263" i="13"/>
  <c r="GU35" i="71"/>
  <c r="GF36" i="71"/>
  <c r="AB96" i="72" a="1"/>
  <c r="AB96" i="72" s="1"/>
  <c r="J953" i="15"/>
  <c r="J720" i="15"/>
  <c r="J894" i="15"/>
  <c r="E762" i="15"/>
  <c r="HS25" i="71"/>
  <c r="FK27" i="71"/>
  <c r="AX284" i="13"/>
  <c r="A384" i="13"/>
  <c r="AX384" i="13" s="1"/>
  <c r="A1373" i="13"/>
  <c r="AX1274" i="13"/>
  <c r="J733" i="15"/>
  <c r="IW23" i="71"/>
  <c r="GX13" i="71"/>
  <c r="J679" i="15"/>
  <c r="K76" i="9"/>
  <c r="HY33" i="71"/>
  <c r="AV1299" i="13"/>
  <c r="G3" i="72"/>
  <c r="G3" i="69"/>
  <c r="DA21" i="4" a="1"/>
  <c r="DA21" i="4" s="1"/>
  <c r="E473" i="15"/>
  <c r="GO21" i="71"/>
  <c r="H20" i="7" a="1"/>
  <c r="H20" i="7" s="1"/>
  <c r="E909" i="15"/>
  <c r="HY4" i="71"/>
  <c r="J941" i="15"/>
  <c r="HY18" i="71"/>
  <c r="A1338" i="13"/>
  <c r="AX1239" i="13"/>
  <c r="H92" i="9"/>
  <c r="H62" i="9"/>
  <c r="A1360" i="13"/>
  <c r="AX1261" i="13"/>
  <c r="N49" i="9"/>
  <c r="L49" i="9" s="1"/>
  <c r="GU6" i="71"/>
  <c r="GF34" i="71"/>
  <c r="IB8" i="71"/>
  <c r="FW20" i="71"/>
  <c r="J999" i="15"/>
  <c r="M98" i="9"/>
  <c r="IN32" i="71"/>
  <c r="K78" i="9"/>
  <c r="FT26" i="71"/>
  <c r="GF10" i="71"/>
  <c r="HM8" i="71"/>
  <c r="V9" i="22"/>
  <c r="BT16" i="4"/>
  <c r="AQ9" i="69" a="1"/>
  <c r="AQ9" i="69" s="1"/>
  <c r="AR9" i="69" a="1"/>
  <c r="AR9" i="69" s="1"/>
  <c r="CW26" i="4"/>
  <c r="CX26" i="4" s="1"/>
  <c r="AY26" i="4"/>
  <c r="Z1322" i="13"/>
  <c r="F26" i="4"/>
  <c r="AV28" i="13"/>
  <c r="AW26" i="4"/>
  <c r="AP26" i="4"/>
  <c r="AV328" i="13" s="1"/>
  <c r="AV428" i="13" s="1"/>
  <c r="W41" i="22"/>
  <c r="Y41" i="22" s="1"/>
  <c r="DA26" i="4" a="1"/>
  <c r="DA26" i="4" s="1"/>
  <c r="AX1279" i="13"/>
  <c r="A1378" i="13"/>
  <c r="AQ12" i="4"/>
  <c r="AR12" i="4"/>
  <c r="AQ10" i="4"/>
  <c r="AR10" i="4"/>
  <c r="E655" i="15"/>
  <c r="IH28" i="71"/>
  <c r="E884" i="15"/>
  <c r="IE23" i="71"/>
  <c r="J933" i="15"/>
  <c r="AV1489" i="13"/>
  <c r="JR12" i="71"/>
  <c r="M38" i="9"/>
  <c r="JU14" i="71"/>
  <c r="J653" i="15"/>
  <c r="AC95" i="72"/>
  <c r="CW48" i="4"/>
  <c r="CX48" i="4" s="1"/>
  <c r="E218" i="15"/>
  <c r="BD14" i="4"/>
  <c r="AX1251" i="13"/>
  <c r="A1350" i="13"/>
  <c r="IN13" i="71"/>
  <c r="AW96" i="69"/>
  <c r="FK12" i="71"/>
  <c r="HP34" i="71"/>
  <c r="N47" i="9"/>
  <c r="L47" i="9" s="1"/>
  <c r="IN9" i="71"/>
  <c r="JL21" i="71"/>
  <c r="GX35" i="71"/>
  <c r="GL15" i="71"/>
  <c r="CW50" i="4"/>
  <c r="CX50" i="4" s="1"/>
  <c r="E48" i="4"/>
  <c r="BT48" i="4" s="1"/>
  <c r="BT27" i="4"/>
  <c r="N32" i="9"/>
  <c r="L32" i="9" s="1"/>
  <c r="HG27" i="71"/>
  <c r="W96" i="69"/>
  <c r="FO38" i="71"/>
  <c r="FZ30" i="71"/>
  <c r="IK25" i="71"/>
  <c r="IZ7" i="71"/>
  <c r="HP10" i="71"/>
  <c r="IQ35" i="71"/>
  <c r="FK33" i="71"/>
  <c r="E457" i="15"/>
  <c r="J829" i="15"/>
  <c r="J957" i="15"/>
  <c r="AB96" i="69" a="1"/>
  <c r="AB96" i="69" s="1"/>
  <c r="IW20" i="71"/>
  <c r="AX92" i="4"/>
  <c r="DB92" i="4"/>
  <c r="CU92" i="4"/>
  <c r="CV92" i="4" s="1"/>
  <c r="A1379" i="13"/>
  <c r="AX1280" i="13"/>
  <c r="E695" i="15"/>
  <c r="HJ30" i="71"/>
  <c r="E980" i="15"/>
  <c r="JO28" i="71"/>
  <c r="GF27" i="71"/>
  <c r="IN25" i="71"/>
  <c r="GU24" i="71"/>
  <c r="GX11" i="71"/>
  <c r="FH36" i="71"/>
  <c r="GL7" i="71"/>
  <c r="N22" i="9"/>
  <c r="L22" i="9" s="1"/>
  <c r="Z1503" i="13"/>
  <c r="A1498" i="13"/>
  <c r="AV1399" i="13"/>
  <c r="AX1399" i="13"/>
  <c r="AY15" i="4"/>
  <c r="AV17" i="13"/>
  <c r="F15" i="4"/>
  <c r="Z1311" i="13"/>
  <c r="AW15" i="4"/>
  <c r="AP15" i="4"/>
  <c r="AV317" i="13" s="1"/>
  <c r="AV417" i="13" s="1"/>
  <c r="W25" i="22"/>
  <c r="Y25" i="22" s="1"/>
  <c r="V25" i="22"/>
  <c r="DA15" i="4" a="1"/>
  <c r="DA15" i="4" s="1"/>
  <c r="CW15" i="4"/>
  <c r="CX15" i="4" s="1"/>
  <c r="AV35" i="13"/>
  <c r="AY33" i="4"/>
  <c r="F33" i="4"/>
  <c r="AW33" i="4"/>
  <c r="Z1329" i="13"/>
  <c r="AP33" i="4"/>
  <c r="AV335" i="13" s="1"/>
  <c r="AV435" i="13" s="1"/>
  <c r="V49" i="22"/>
  <c r="B16" i="27" a="1"/>
  <c r="B16" i="27" s="1"/>
  <c r="H15" i="27"/>
  <c r="I15" i="27" s="1"/>
  <c r="G19" i="27"/>
  <c r="F15" i="27" a="1"/>
  <c r="F15" i="27" s="1"/>
  <c r="H19" i="27"/>
  <c r="F16" i="27" a="1"/>
  <c r="F16" i="27" s="1"/>
  <c r="G16" i="27" a="1"/>
  <c r="G16" i="27" s="1"/>
  <c r="G15" i="27" a="1"/>
  <c r="G15" i="27" s="1"/>
  <c r="E18" i="27"/>
  <c r="I11" i="27" s="1"/>
  <c r="B15" i="27" a="1"/>
  <c r="B15" i="27" s="1"/>
  <c r="A15" i="27" a="1"/>
  <c r="A15" i="27" s="1"/>
  <c r="A16" i="27" a="1"/>
  <c r="A16" i="27" s="1"/>
  <c r="W88" i="22"/>
  <c r="AV58" i="13"/>
  <c r="AW56" i="4"/>
  <c r="AY56" i="4"/>
  <c r="Z1352" i="13"/>
  <c r="AX1236" i="13"/>
  <c r="A1335" i="13"/>
  <c r="A372" i="13"/>
  <c r="AX372" i="13" s="1"/>
  <c r="AX272" i="13"/>
  <c r="F34" i="4"/>
  <c r="AV36" i="13"/>
  <c r="AW34" i="4"/>
  <c r="Z1330" i="13"/>
  <c r="AY34" i="4"/>
  <c r="AP34" i="4"/>
  <c r="AV336" i="13" s="1"/>
  <c r="AV436" i="13" s="1"/>
  <c r="V48" i="22"/>
  <c r="W48" i="22"/>
  <c r="Y48" i="22" s="1"/>
  <c r="CY22" i="4"/>
  <c r="CZ22" i="4" s="1"/>
  <c r="AV24" i="13"/>
  <c r="AY22" i="4"/>
  <c r="F22" i="4"/>
  <c r="AW22" i="4"/>
  <c r="Z1318" i="13"/>
  <c r="AP22" i="4"/>
  <c r="AV324" i="13" s="1"/>
  <c r="AV424" i="13" s="1"/>
  <c r="V34" i="22"/>
  <c r="W34" i="22"/>
  <c r="Y34" i="22" s="1"/>
  <c r="BA72" i="4" a="1"/>
  <c r="BA72" i="4" s="1"/>
  <c r="BB72" i="4" s="1"/>
  <c r="AV174" i="13" s="1"/>
  <c r="B72" i="4"/>
  <c r="DA72" i="4" s="1" a="1"/>
  <c r="DA72" i="4" s="1"/>
  <c r="S4" i="69"/>
  <c r="AV1201" i="13"/>
  <c r="S4" i="72"/>
  <c r="B4" i="72"/>
  <c r="B4" i="69"/>
  <c r="BA96" i="4" a="1"/>
  <c r="BA96" i="4" s="1"/>
  <c r="BB96" i="4" s="1"/>
  <c r="AV198" i="13" s="1"/>
  <c r="B96" i="4"/>
  <c r="K81" i="9"/>
  <c r="JO20" i="71"/>
  <c r="GR27" i="71"/>
  <c r="IK31" i="71"/>
  <c r="FT5" i="71"/>
  <c r="GU30" i="71"/>
  <c r="IN33" i="71"/>
  <c r="BM9" i="4"/>
  <c r="BE9" i="4" s="1" a="1"/>
  <c r="BE9" i="4" s="1"/>
  <c r="BI9" i="72"/>
  <c r="BD9" i="69"/>
  <c r="AX1208" i="13"/>
  <c r="A1307" i="13"/>
  <c r="BA64" i="4" a="1"/>
  <c r="BA64" i="4" s="1"/>
  <c r="BB64" i="4" s="1"/>
  <c r="AV166" i="13" s="1"/>
  <c r="B64" i="4"/>
  <c r="CW64" i="4" s="1"/>
  <c r="CX64" i="4" s="1"/>
  <c r="J914" i="15"/>
  <c r="I7" i="15" a="1"/>
  <c r="I7" i="15" s="1"/>
  <c r="JU7" i="71"/>
  <c r="E782" i="15"/>
  <c r="J737" i="15"/>
  <c r="HJ15" i="71"/>
  <c r="AS95" i="72"/>
  <c r="HV26" i="71"/>
  <c r="HA25" i="71"/>
  <c r="IZ5" i="71"/>
  <c r="M41" i="9"/>
  <c r="E571" i="15"/>
  <c r="E286" i="15"/>
  <c r="E172" i="15"/>
  <c r="E409" i="15"/>
  <c r="E313" i="15"/>
  <c r="E354" i="15"/>
  <c r="E293" i="15"/>
  <c r="E442" i="15"/>
  <c r="E537" i="15"/>
  <c r="E231" i="15"/>
  <c r="E508" i="15"/>
  <c r="E237" i="15"/>
  <c r="E374" i="15"/>
  <c r="DE42" i="4"/>
  <c r="E423" i="15"/>
  <c r="E321" i="15"/>
  <c r="E373" i="15"/>
  <c r="A385" i="13"/>
  <c r="AX385" i="13" s="1"/>
  <c r="AX285" i="13"/>
  <c r="A376" i="13"/>
  <c r="AX376" i="13" s="1"/>
  <c r="AX276" i="13"/>
  <c r="HS8" i="71"/>
  <c r="GL34" i="71"/>
  <c r="V41" i="22"/>
  <c r="IE8" i="71"/>
  <c r="AV1590" i="13"/>
  <c r="AV1689" i="13" s="1"/>
  <c r="M14" i="9"/>
  <c r="J514" i="15"/>
  <c r="HS7" i="71"/>
  <c r="J896" i="15"/>
  <c r="DA50" i="4" a="1"/>
  <c r="DA50" i="4" s="1"/>
  <c r="H79" i="9"/>
  <c r="E887" i="15"/>
  <c r="I6" i="15" a="1"/>
  <c r="I6" i="15" s="1"/>
  <c r="GR34" i="71"/>
  <c r="E854" i="15"/>
  <c r="E792" i="15"/>
  <c r="E905" i="15"/>
  <c r="HA6" i="71"/>
  <c r="J692" i="15"/>
  <c r="DE12" i="4"/>
  <c r="CW12" i="4"/>
  <c r="CX12" i="4" s="1"/>
  <c r="E12" i="4"/>
  <c r="BT12" i="4" s="1"/>
  <c r="DB93" i="4"/>
  <c r="CU93" i="4"/>
  <c r="CV93" i="4" s="1"/>
  <c r="AX93" i="4"/>
  <c r="IW11" i="71"/>
  <c r="JF31" i="71"/>
  <c r="JO25" i="71"/>
  <c r="J604" i="15"/>
  <c r="J887" i="15"/>
  <c r="J916" i="15"/>
  <c r="IK26" i="71"/>
  <c r="AX265" i="13"/>
  <c r="A365" i="13"/>
  <c r="AX365" i="13" s="1"/>
  <c r="A326" i="13"/>
  <c r="AX326" i="13" s="1"/>
  <c r="AX226" i="13"/>
  <c r="JC19" i="71"/>
  <c r="J739" i="15"/>
  <c r="J904" i="15"/>
  <c r="K87" i="9"/>
  <c r="EJ5" i="71"/>
  <c r="CU86" i="4"/>
  <c r="CV86" i="4" s="1"/>
  <c r="AX86" i="4"/>
  <c r="DB86" i="4"/>
  <c r="CY81" i="4"/>
  <c r="CZ81" i="4" s="1"/>
  <c r="CU81" i="4"/>
  <c r="CV81" i="4" s="1"/>
  <c r="AX81" i="4"/>
  <c r="A323" i="13"/>
  <c r="AX323" i="13" s="1"/>
  <c r="AX223" i="13"/>
  <c r="IQ22" i="71"/>
  <c r="HY15" i="71"/>
  <c r="IN31" i="71"/>
  <c r="CW38" i="4"/>
  <c r="CX38" i="4" s="1"/>
  <c r="Z1362" i="13"/>
  <c r="AV68" i="13"/>
  <c r="AW66" i="4"/>
  <c r="AY66" i="4"/>
  <c r="AY80" i="4"/>
  <c r="AW80" i="4"/>
  <c r="AV82" i="13"/>
  <c r="Z1376" i="13"/>
  <c r="W97" i="22"/>
  <c r="Y97" i="22" s="1"/>
  <c r="AY65" i="4"/>
  <c r="Z1361" i="13"/>
  <c r="AV67" i="13"/>
  <c r="AW65" i="4"/>
  <c r="AP65" i="4"/>
  <c r="AV367" i="13" s="1"/>
  <c r="AV467" i="13" s="1"/>
  <c r="AV42" i="13"/>
  <c r="AY40" i="4"/>
  <c r="AW40" i="4"/>
  <c r="Z1336" i="13"/>
  <c r="F40" i="4"/>
  <c r="AP40" i="4"/>
  <c r="AV342" i="13" s="1"/>
  <c r="AV442" i="13" s="1"/>
  <c r="W57" i="22"/>
  <c r="Y57" i="22" s="1"/>
  <c r="V57" i="22"/>
  <c r="CW40" i="4"/>
  <c r="CX40" i="4" s="1"/>
  <c r="AX267" i="13"/>
  <c r="A367" i="13"/>
  <c r="AX367" i="13" s="1"/>
  <c r="Z1326" i="13"/>
  <c r="AW30" i="4"/>
  <c r="AY30" i="4"/>
  <c r="AV32" i="13"/>
  <c r="F30" i="4"/>
  <c r="AP30" i="4"/>
  <c r="AV332" i="13" s="1"/>
  <c r="AV432" i="13" s="1"/>
  <c r="V47" i="22"/>
  <c r="W47" i="22"/>
  <c r="Y47" i="22" s="1"/>
  <c r="BD35" i="4"/>
  <c r="BT35" i="4"/>
  <c r="AX1246" i="13"/>
  <c r="A1345" i="13"/>
  <c r="AX90" i="4"/>
  <c r="CU90" i="4"/>
  <c r="CV90" i="4" s="1"/>
  <c r="A1363" i="13"/>
  <c r="AX1264" i="13"/>
  <c r="H82" i="9"/>
  <c r="CU80" i="4"/>
  <c r="CV80" i="4" s="1"/>
  <c r="DB80" i="4"/>
  <c r="AX80" i="4"/>
  <c r="A1328" i="13"/>
  <c r="AX1229" i="13"/>
  <c r="CY48" i="4"/>
  <c r="CZ48" i="4" s="1"/>
  <c r="JO11" i="71"/>
  <c r="JF26" i="71"/>
  <c r="IB21" i="71"/>
  <c r="GL22" i="71"/>
  <c r="IQ23" i="71"/>
  <c r="J973" i="15"/>
  <c r="GU23" i="71"/>
  <c r="JX33" i="71"/>
  <c r="CU72" i="4"/>
  <c r="CV72" i="4" s="1"/>
  <c r="AX72" i="4"/>
  <c r="DB72" i="4"/>
  <c r="CW29" i="4"/>
  <c r="CX29" i="4" s="1"/>
  <c r="EJ8" i="71"/>
  <c r="N45" i="9"/>
  <c r="L45" i="9" s="1"/>
  <c r="HM16" i="71"/>
  <c r="J846" i="15"/>
  <c r="HY36" i="71"/>
  <c r="AV1588" i="13"/>
  <c r="AV1687" i="13" s="1"/>
  <c r="GX33" i="71"/>
  <c r="JO4" i="71"/>
  <c r="EJ31" i="71"/>
  <c r="AX248" i="13"/>
  <c r="A348" i="13"/>
  <c r="AX348" i="13" s="1"/>
  <c r="H68" i="9"/>
  <c r="AX96" i="69"/>
  <c r="K66" i="9"/>
  <c r="IK18" i="71"/>
  <c r="K83" i="9"/>
  <c r="J508" i="15"/>
  <c r="GF33" i="71"/>
  <c r="E872" i="15"/>
  <c r="J856" i="15"/>
  <c r="AX1290" i="13"/>
  <c r="A1389" i="13"/>
  <c r="E32" i="4"/>
  <c r="E168" i="15"/>
  <c r="E46" i="15"/>
  <c r="E333" i="15"/>
  <c r="E311" i="15"/>
  <c r="E633" i="15"/>
  <c r="E529" i="15"/>
  <c r="E424" i="15"/>
  <c r="E484" i="15"/>
  <c r="E515" i="15"/>
  <c r="E96" i="15"/>
  <c r="E455" i="15"/>
  <c r="E217" i="15"/>
  <c r="E458" i="15"/>
  <c r="E138" i="15"/>
  <c r="E544" i="15"/>
  <c r="E466" i="15"/>
  <c r="E319" i="15"/>
  <c r="E524" i="15"/>
  <c r="E581" i="15"/>
  <c r="BT31" i="4"/>
  <c r="AX1263" i="13"/>
  <c r="A1362" i="13"/>
  <c r="M26" i="9"/>
  <c r="IH8" i="71"/>
  <c r="J830" i="15"/>
  <c r="GC7" i="71"/>
  <c r="GO29" i="71"/>
  <c r="E817" i="15"/>
  <c r="M21" i="9"/>
  <c r="E768" i="15"/>
  <c r="J651" i="15"/>
  <c r="E923" i="15"/>
  <c r="N90" i="9"/>
  <c r="L90" i="9" s="1"/>
  <c r="E804" i="15"/>
  <c r="GC12" i="71"/>
  <c r="E991" i="15"/>
  <c r="AX1241" i="13"/>
  <c r="A1340" i="13"/>
  <c r="BD50" i="4"/>
  <c r="IK36" i="71"/>
  <c r="W94" i="72"/>
  <c r="FH30" i="71"/>
  <c r="DA38" i="4" a="1"/>
  <c r="DA38" i="4" s="1"/>
  <c r="BM3" i="72" a="1"/>
  <c r="BM3" i="72" s="1"/>
  <c r="BS3" i="72"/>
  <c r="BF3" i="72"/>
  <c r="BT3" i="72"/>
  <c r="J988" i="15"/>
  <c r="Z1307" i="13"/>
  <c r="F11" i="4"/>
  <c r="AY11" i="4"/>
  <c r="AV13" i="13"/>
  <c r="AW11" i="4"/>
  <c r="AP11" i="4"/>
  <c r="AV313" i="13" s="1"/>
  <c r="AV413" i="13" s="1"/>
  <c r="V20" i="22"/>
  <c r="W20" i="22"/>
  <c r="Y20" i="22" s="1"/>
  <c r="BT9" i="4"/>
  <c r="BD9" i="4"/>
  <c r="AY59" i="4"/>
  <c r="AW59" i="4"/>
  <c r="AV61" i="13"/>
  <c r="Z1355" i="13"/>
  <c r="CY30" i="4"/>
  <c r="CZ30" i="4" s="1"/>
  <c r="AY92" i="4"/>
  <c r="Z1388" i="13"/>
  <c r="AW92" i="4"/>
  <c r="AV94" i="13"/>
  <c r="AX1262" i="13"/>
  <c r="A1361" i="13"/>
  <c r="F27" i="4"/>
  <c r="AW27" i="4"/>
  <c r="AV29" i="13"/>
  <c r="Z1323" i="13"/>
  <c r="AY27" i="4"/>
  <c r="AP27" i="4"/>
  <c r="AV329" i="13" s="1"/>
  <c r="AV429" i="13" s="1"/>
  <c r="DA27" i="4" a="1"/>
  <c r="DA27" i="4" s="1"/>
  <c r="W42" i="22"/>
  <c r="Y42" i="22" s="1"/>
  <c r="CY27" i="4"/>
  <c r="CZ27" i="4" s="1"/>
  <c r="V42" i="22"/>
  <c r="Z1314" i="13"/>
  <c r="F18" i="4"/>
  <c r="AV20" i="13"/>
  <c r="AY18" i="4"/>
  <c r="AW18" i="4"/>
  <c r="AP18" i="4"/>
  <c r="AV320" i="13" s="1"/>
  <c r="AV420" i="13" s="1"/>
  <c r="V26" i="22"/>
  <c r="W26" i="22"/>
  <c r="Y26" i="22" s="1"/>
  <c r="CY18" i="4"/>
  <c r="CZ18" i="4" s="1"/>
  <c r="DA18" i="4" a="1"/>
  <c r="DA18" i="4" s="1"/>
  <c r="Z1332" i="13"/>
  <c r="F36" i="4"/>
  <c r="AY36" i="4"/>
  <c r="AV38" i="13"/>
  <c r="AW36" i="4"/>
  <c r="AP36" i="4"/>
  <c r="AV338" i="13" s="1"/>
  <c r="AV438" i="13" s="1"/>
  <c r="DA36" i="4" a="1"/>
  <c r="DA36" i="4" s="1"/>
  <c r="V52" i="22"/>
  <c r="W52" i="22"/>
  <c r="Y52" i="22" s="1"/>
  <c r="DA20" i="4" a="1"/>
  <c r="DA20" i="4" s="1"/>
  <c r="DE46" i="4"/>
  <c r="E276" i="15"/>
  <c r="E612" i="15"/>
  <c r="E418" i="15"/>
  <c r="E45" i="15"/>
  <c r="E260" i="15"/>
  <c r="E597" i="15"/>
  <c r="E437" i="15"/>
  <c r="E394" i="15"/>
  <c r="E410" i="15"/>
  <c r="E207" i="15"/>
  <c r="E499" i="15"/>
  <c r="E220" i="15"/>
  <c r="F25" i="4"/>
  <c r="Z1321" i="13"/>
  <c r="AY25" i="4"/>
  <c r="AV27" i="13"/>
  <c r="AW25" i="4"/>
  <c r="AP25" i="4"/>
  <c r="AV327" i="13" s="1"/>
  <c r="AV427" i="13" s="1"/>
  <c r="W40" i="22"/>
  <c r="Y40" i="22" s="1"/>
  <c r="V40" i="22"/>
  <c r="E33" i="4"/>
  <c r="E126" i="15"/>
  <c r="E624" i="15"/>
  <c r="E489" i="15"/>
  <c r="E605" i="15"/>
  <c r="E238" i="15"/>
  <c r="E636" i="15"/>
  <c r="E296" i="15"/>
  <c r="E645" i="15"/>
  <c r="E176" i="15"/>
  <c r="E384" i="15"/>
  <c r="E618" i="15"/>
  <c r="E629" i="15"/>
  <c r="E602" i="15"/>
  <c r="E303" i="15"/>
  <c r="E628" i="15"/>
  <c r="E403" i="15"/>
  <c r="E453" i="15"/>
  <c r="E393" i="15"/>
  <c r="E513" i="15"/>
  <c r="E271" i="15"/>
  <c r="E428" i="15"/>
  <c r="Z1338" i="13"/>
  <c r="AY42" i="4"/>
  <c r="AW42" i="4"/>
  <c r="AV44" i="13"/>
  <c r="F42" i="4"/>
  <c r="AP42" i="4"/>
  <c r="AV344" i="13" s="1"/>
  <c r="AV444" i="13" s="1"/>
  <c r="CY42" i="4"/>
  <c r="CZ42" i="4" s="1"/>
  <c r="V60" i="22"/>
  <c r="AX1211" i="13"/>
  <c r="A1310" i="13"/>
  <c r="DA5" i="4" a="1"/>
  <c r="DA5" i="4" s="1"/>
  <c r="AY51" i="4"/>
  <c r="F51" i="4"/>
  <c r="AV53" i="13"/>
  <c r="AW51" i="4"/>
  <c r="Z1347" i="13"/>
  <c r="AP51" i="4"/>
  <c r="AV353" i="13" s="1"/>
  <c r="AV453" i="13" s="1"/>
  <c r="W71" i="22"/>
  <c r="Y71" i="22" s="1"/>
  <c r="V71" i="22"/>
  <c r="BD46" i="4"/>
  <c r="L58" i="69"/>
  <c r="J58" i="69"/>
  <c r="P58" i="69"/>
  <c r="BP58" i="69"/>
  <c r="Y58" i="69"/>
  <c r="Z58" i="69"/>
  <c r="V58" i="69"/>
  <c r="W58" i="69"/>
  <c r="BK58" i="69" s="1"/>
  <c r="Q58" i="69"/>
  <c r="AX58" i="69"/>
  <c r="A58" i="69"/>
  <c r="AW58" i="69"/>
  <c r="AN58" i="69"/>
  <c r="AB58" i="69" a="1"/>
  <c r="AB58" i="69" s="1"/>
  <c r="N58" i="69" a="1"/>
  <c r="N58" i="69" s="1"/>
  <c r="AA58" i="69"/>
  <c r="AC58" i="69"/>
  <c r="CW34" i="4"/>
  <c r="CX34" i="4" s="1"/>
  <c r="CY64" i="4"/>
  <c r="CZ64" i="4" s="1"/>
  <c r="CU64" i="4"/>
  <c r="CV64" i="4" s="1"/>
  <c r="AX64" i="4"/>
  <c r="DB64" i="4"/>
  <c r="B82" i="4"/>
  <c r="CW82" i="4" s="1"/>
  <c r="CX82" i="4" s="1"/>
  <c r="BA82" i="4" a="1"/>
  <c r="BA82" i="4" s="1"/>
  <c r="BB82" i="4" s="1"/>
  <c r="AV184" i="13" s="1"/>
  <c r="CU85" i="4"/>
  <c r="CV85" i="4" s="1"/>
  <c r="DB85" i="4"/>
  <c r="CY85" i="4"/>
  <c r="CZ85" i="4" s="1"/>
  <c r="AX85" i="4"/>
  <c r="J968" i="15"/>
  <c r="Y94" i="72"/>
  <c r="JM38" i="71"/>
  <c r="W11" i="22"/>
  <c r="Y11" i="22" s="1"/>
  <c r="E748" i="15"/>
  <c r="J798" i="15"/>
  <c r="IT7" i="71"/>
  <c r="GF21" i="71"/>
  <c r="N88" i="9"/>
  <c r="L88" i="9" s="1"/>
  <c r="N74" i="9"/>
  <c r="L74" i="9" s="1"/>
  <c r="CW44" i="4"/>
  <c r="CX44" i="4" s="1"/>
  <c r="AQ11" i="4"/>
  <c r="AR11" i="4"/>
  <c r="AQ9" i="4"/>
  <c r="AR9" i="4"/>
  <c r="DA48" i="4" a="1"/>
  <c r="DA48" i="4" s="1"/>
  <c r="CW52" i="4"/>
  <c r="CX52" i="4" s="1"/>
  <c r="FQ5" i="71"/>
  <c r="FT25" i="71"/>
  <c r="M82" i="9"/>
  <c r="GF7" i="71"/>
  <c r="GF32" i="71"/>
  <c r="K79" i="9"/>
  <c r="E714" i="15"/>
  <c r="IE14" i="71"/>
  <c r="J727" i="15"/>
  <c r="J809" i="15"/>
  <c r="HD9" i="71"/>
  <c r="E961" i="15"/>
  <c r="BT42" i="4"/>
  <c r="DA25" i="4" a="1"/>
  <c r="DA25" i="4" s="1"/>
  <c r="AX240" i="13"/>
  <c r="A340" i="13"/>
  <c r="AX340" i="13" s="1"/>
  <c r="BT91" i="4"/>
  <c r="FK23" i="71"/>
  <c r="J709" i="15"/>
  <c r="E939" i="15"/>
  <c r="N87" i="9"/>
  <c r="L87" i="9" s="1"/>
  <c r="J939" i="15"/>
  <c r="K35" i="9"/>
  <c r="HV16" i="71"/>
  <c r="HM13" i="71"/>
  <c r="E875" i="15"/>
  <c r="J864" i="15"/>
  <c r="A344" i="13"/>
  <c r="AX344" i="13" s="1"/>
  <c r="AX244" i="13"/>
  <c r="AC96" i="69"/>
  <c r="J841" i="15"/>
  <c r="GL27" i="71"/>
  <c r="E115" i="15"/>
  <c r="IT29" i="71"/>
  <c r="E930" i="15"/>
  <c r="HG28" i="71"/>
  <c r="HG16" i="71"/>
  <c r="JO22" i="71"/>
  <c r="JF36" i="71"/>
  <c r="E637" i="15"/>
  <c r="J958" i="15"/>
  <c r="J827" i="15"/>
  <c r="JC34" i="71"/>
  <c r="FQ24" i="71"/>
  <c r="IB11" i="71"/>
  <c r="M11" i="9"/>
  <c r="BT25" i="4"/>
  <c r="BD25" i="4"/>
  <c r="AV505" i="13"/>
  <c r="DV3" i="4"/>
  <c r="BL3" i="4"/>
  <c r="BH3" i="4"/>
  <c r="AX250" i="13"/>
  <c r="A350" i="13"/>
  <c r="AX350" i="13" s="1"/>
  <c r="E902" i="15"/>
  <c r="E881" i="15"/>
  <c r="BC94" i="72"/>
  <c r="GR14" i="71"/>
  <c r="GU5" i="71"/>
  <c r="P95" i="69"/>
  <c r="GF15" i="71"/>
  <c r="HP12" i="71"/>
  <c r="M88" i="9"/>
  <c r="JL30" i="71"/>
  <c r="B87" i="4"/>
  <c r="AP87" i="4" s="1"/>
  <c r="AV389" i="13" s="1"/>
  <c r="AV489" i="13" s="1"/>
  <c r="BA87" i="4" a="1"/>
  <c r="BA87" i="4" s="1"/>
  <c r="BB87" i="4" s="1"/>
  <c r="AV189" i="13" s="1"/>
  <c r="E406" i="15"/>
  <c r="E559" i="15"/>
  <c r="E382" i="15"/>
  <c r="DE38" i="4"/>
  <c r="E38" i="4"/>
  <c r="BT38" i="4" s="1"/>
  <c r="E549" i="15"/>
  <c r="E203" i="15"/>
  <c r="B77" i="4"/>
  <c r="AP77" i="4" s="1"/>
  <c r="AV379" i="13" s="1"/>
  <c r="AV479" i="13" s="1"/>
  <c r="BA77" i="4" a="1"/>
  <c r="BA77" i="4" s="1"/>
  <c r="BB77" i="4" s="1"/>
  <c r="AV179" i="13" s="1"/>
  <c r="CY79" i="4"/>
  <c r="CZ79" i="4" s="1"/>
  <c r="AX79" i="4"/>
  <c r="DB79" i="4"/>
  <c r="CU79" i="4"/>
  <c r="CV79" i="4" s="1"/>
  <c r="DA79" i="4" a="1"/>
  <c r="DA79" i="4" s="1"/>
  <c r="CW79" i="4"/>
  <c r="CX79" i="4" s="1"/>
  <c r="AS79" i="4"/>
  <c r="AV681" i="13" s="1"/>
  <c r="AX94" i="4"/>
  <c r="DB94" i="4"/>
  <c r="AR94" i="72" s="1"/>
  <c r="CU94" i="4"/>
  <c r="CV94" i="4" s="1"/>
  <c r="IB9" i="71"/>
  <c r="BH9" i="4"/>
  <c r="DA11" i="4" a="1"/>
  <c r="DA11" i="4" s="1"/>
  <c r="DA52" i="4" a="1"/>
  <c r="DA52" i="4" s="1"/>
  <c r="HA21" i="71"/>
  <c r="E703" i="15"/>
  <c r="GO10" i="71"/>
  <c r="K32" i="9"/>
  <c r="E469" i="15"/>
  <c r="N31" i="9"/>
  <c r="L31" i="9" s="1"/>
  <c r="J974" i="15"/>
  <c r="IB20" i="71"/>
  <c r="L95" i="72"/>
  <c r="E441" i="15"/>
  <c r="J839" i="15"/>
  <c r="HJ12" i="71"/>
  <c r="AX1243" i="13"/>
  <c r="A1342" i="13"/>
  <c r="A307" i="13"/>
  <c r="AX307" i="13" s="1"/>
  <c r="AX207" i="13"/>
  <c r="A366" i="13"/>
  <c r="AX366" i="13" s="1"/>
  <c r="AX266" i="13"/>
  <c r="AX255" i="13"/>
  <c r="A355" i="13"/>
  <c r="AX355" i="13" s="1"/>
  <c r="E155" i="15"/>
  <c r="E272" i="15"/>
  <c r="E585" i="15"/>
  <c r="E387" i="15"/>
  <c r="E74" i="15"/>
  <c r="E199" i="15"/>
  <c r="E106" i="15"/>
  <c r="E526" i="15"/>
  <c r="E51" i="15"/>
  <c r="JF16" i="71"/>
  <c r="GX24" i="71"/>
  <c r="JI13" i="71"/>
  <c r="J750" i="15"/>
  <c r="E833" i="15"/>
  <c r="E652" i="15"/>
  <c r="W76" i="22"/>
  <c r="Y76" i="22" s="1"/>
  <c r="GF20" i="71"/>
  <c r="L94" i="69"/>
  <c r="JL8" i="71"/>
  <c r="HV12" i="71"/>
  <c r="BT22" i="4"/>
  <c r="M69" i="9"/>
  <c r="JL17" i="71"/>
  <c r="J664" i="15"/>
  <c r="E832" i="15"/>
  <c r="GX30" i="71"/>
  <c r="J819" i="15"/>
  <c r="GR8" i="71"/>
  <c r="IZ33" i="71"/>
  <c r="FZ18" i="71"/>
  <c r="E704" i="15"/>
  <c r="AX258" i="13"/>
  <c r="A358" i="13"/>
  <c r="AX358" i="13" s="1"/>
  <c r="A327" i="13"/>
  <c r="AX327" i="13" s="1"/>
  <c r="AX227" i="13"/>
  <c r="E660" i="15"/>
  <c r="E936" i="15"/>
  <c r="FN6" i="71"/>
  <c r="W49" i="22"/>
  <c r="Y49" i="22" s="1"/>
  <c r="J803" i="15"/>
  <c r="FZ11" i="71"/>
  <c r="FN17" i="71"/>
  <c r="J748" i="15"/>
  <c r="A1369" i="13"/>
  <c r="AX1270" i="13"/>
  <c r="E841" i="15"/>
  <c r="N95" i="72" a="1"/>
  <c r="N95" i="72" s="1"/>
  <c r="IW7" i="71"/>
  <c r="GR22" i="71"/>
  <c r="AW95" i="69"/>
  <c r="GL6" i="71"/>
  <c r="HS4" i="71"/>
  <c r="E462" i="15"/>
  <c r="FT14" i="71"/>
  <c r="E994" i="15"/>
  <c r="J658" i="15"/>
  <c r="GU9" i="71"/>
  <c r="E754" i="15"/>
  <c r="AX1282" i="13"/>
  <c r="A1381" i="13"/>
  <c r="F31" i="4"/>
  <c r="AV33" i="13"/>
  <c r="Z1327" i="13"/>
  <c r="AW31" i="4"/>
  <c r="AY31" i="4"/>
  <c r="AP31" i="4"/>
  <c r="AV333" i="13" s="1"/>
  <c r="AV433" i="13" s="1"/>
  <c r="V45" i="22"/>
  <c r="W45" i="22"/>
  <c r="Y45" i="22" s="1"/>
  <c r="Z1384" i="13"/>
  <c r="AY88" i="4"/>
  <c r="AV90" i="13"/>
  <c r="AW88" i="4"/>
  <c r="BT30" i="4"/>
  <c r="AX287" i="13"/>
  <c r="A387" i="13"/>
  <c r="AX387" i="13" s="1"/>
  <c r="Z1325" i="13"/>
  <c r="F29" i="4"/>
  <c r="AY29" i="4"/>
  <c r="AV31" i="13"/>
  <c r="AW29" i="4"/>
  <c r="AP29" i="4"/>
  <c r="AV331" i="13" s="1"/>
  <c r="AV431" i="13" s="1"/>
  <c r="V43" i="22"/>
  <c r="W43" i="22"/>
  <c r="Y43" i="22" s="1"/>
  <c r="AY32" i="4"/>
  <c r="F32" i="4"/>
  <c r="AW32" i="4"/>
  <c r="AV34" i="13"/>
  <c r="Z1328" i="13"/>
  <c r="AP32" i="4"/>
  <c r="AV334" i="13" s="1"/>
  <c r="AV434" i="13" s="1"/>
  <c r="DA32" i="4" a="1"/>
  <c r="DA32" i="4" s="1"/>
  <c r="CW32" i="4"/>
  <c r="CX32" i="4" s="1"/>
  <c r="V50" i="22"/>
  <c r="W50" i="22"/>
  <c r="Y50" i="22" s="1"/>
  <c r="AX210" i="13"/>
  <c r="A310" i="13"/>
  <c r="AX310" i="13" s="1"/>
  <c r="AX76" i="4"/>
  <c r="CU76" i="4"/>
  <c r="CV76" i="4" s="1"/>
  <c r="B80" i="4"/>
  <c r="F80" i="4" s="1"/>
  <c r="BA80" i="4" a="1"/>
  <c r="BA80" i="4" s="1"/>
  <c r="BB80" i="4" s="1"/>
  <c r="AV182" i="13" s="1"/>
  <c r="JI11" i="71"/>
  <c r="W62" i="22"/>
  <c r="Y62" i="22" s="1"/>
  <c r="JF14" i="71"/>
  <c r="HS13" i="71"/>
  <c r="J822" i="15"/>
  <c r="EJ14" i="71"/>
  <c r="IW29" i="71"/>
  <c r="E282" i="15"/>
  <c r="DE34" i="4"/>
  <c r="E34" i="4"/>
  <c r="BT34" i="4" s="1"/>
  <c r="E547" i="15"/>
  <c r="E614" i="15"/>
  <c r="L613" i="15" s="1" a="1"/>
  <c r="L613" i="15" s="1"/>
  <c r="E202" i="15"/>
  <c r="E611" i="15"/>
  <c r="E352" i="15"/>
  <c r="E598" i="15"/>
  <c r="E591" i="15"/>
  <c r="E360" i="15"/>
  <c r="E417" i="15"/>
  <c r="E619" i="15"/>
  <c r="DE50" i="4"/>
  <c r="E630" i="15"/>
  <c r="E641" i="15"/>
  <c r="E256" i="15"/>
  <c r="E425" i="15"/>
  <c r="E594" i="15"/>
  <c r="E439" i="15"/>
  <c r="E497" i="15"/>
  <c r="E478" i="15"/>
  <c r="E589" i="15"/>
  <c r="E351" i="15"/>
  <c r="E434" i="15"/>
  <c r="E277" i="15"/>
  <c r="E538" i="15"/>
  <c r="E261" i="15"/>
  <c r="E257" i="15"/>
  <c r="E213" i="15"/>
  <c r="E229" i="15"/>
  <c r="E304" i="15"/>
  <c r="E520" i="15"/>
  <c r="E291" i="15"/>
  <c r="E561" i="15"/>
  <c r="E622" i="15"/>
  <c r="N620" i="15" s="1" a="1"/>
  <c r="N620" i="15" s="1"/>
  <c r="CW11" i="4"/>
  <c r="CX11" i="4" s="1"/>
  <c r="IW35" i="71"/>
  <c r="BB96" i="72"/>
  <c r="V51" i="22"/>
  <c r="JF21" i="71"/>
  <c r="JI14" i="71"/>
  <c r="J867" i="15"/>
  <c r="E802" i="15"/>
  <c r="FT4" i="71"/>
  <c r="J711" i="15"/>
  <c r="M61" i="9"/>
  <c r="HA14" i="71"/>
  <c r="IU38" i="71"/>
  <c r="JC13" i="71"/>
  <c r="A1453" i="13"/>
  <c r="AX1354" i="13"/>
  <c r="DD33" i="4" a="1"/>
  <c r="DD33" i="4" s="1"/>
  <c r="DD53" i="4" a="1"/>
  <c r="DD53" i="4" s="1"/>
  <c r="DD39" i="4" a="1"/>
  <c r="DD39" i="4" s="1"/>
  <c r="DD46" i="4" a="1"/>
  <c r="DD46" i="4" s="1"/>
  <c r="DD5" i="4" a="1"/>
  <c r="DD5" i="4" s="1"/>
  <c r="DD20" i="4" a="1"/>
  <c r="DD20" i="4" s="1"/>
  <c r="DD30" i="4" a="1"/>
  <c r="DD30" i="4" s="1"/>
  <c r="DD12" i="4" a="1"/>
  <c r="DD12" i="4" s="1"/>
  <c r="DD15" i="4" a="1"/>
  <c r="DD15" i="4" s="1"/>
  <c r="DD19" i="4" a="1"/>
  <c r="DD19" i="4" s="1"/>
  <c r="DD52" i="4" a="1"/>
  <c r="DD52" i="4" s="1"/>
  <c r="DD38" i="4" a="1"/>
  <c r="DD38" i="4" s="1"/>
  <c r="DD17" i="4" a="1"/>
  <c r="DD17" i="4" s="1"/>
  <c r="DD13" i="4" a="1"/>
  <c r="DD13" i="4" s="1"/>
  <c r="DD48" i="4" a="1"/>
  <c r="DD48" i="4" s="1"/>
  <c r="DD42" i="4" a="1"/>
  <c r="DD42" i="4" s="1"/>
  <c r="DD14" i="4" a="1"/>
  <c r="DD14" i="4" s="1"/>
  <c r="DD51" i="4" a="1"/>
  <c r="DD51" i="4" s="1"/>
  <c r="DD29" i="4" a="1"/>
  <c r="DD29" i="4" s="1"/>
  <c r="DD22" i="4" a="1"/>
  <c r="DD22" i="4" s="1"/>
  <c r="DD50" i="4" a="1"/>
  <c r="DD50" i="4" s="1"/>
  <c r="DD43" i="4" a="1"/>
  <c r="DD43" i="4" s="1"/>
  <c r="DD21" i="4" a="1"/>
  <c r="DD21" i="4" s="1"/>
  <c r="DD45" i="4" a="1"/>
  <c r="DD45" i="4" s="1"/>
  <c r="DD9" i="4" a="1"/>
  <c r="DD9" i="4" s="1"/>
  <c r="DD40" i="4" a="1"/>
  <c r="DD40" i="4" s="1"/>
  <c r="DD49" i="4" a="1"/>
  <c r="DD49" i="4" s="1"/>
  <c r="DD11" i="4" a="1"/>
  <c r="DD11" i="4" s="1"/>
  <c r="DD6" i="4" a="1"/>
  <c r="DD6" i="4" s="1"/>
  <c r="DD32" i="4" a="1"/>
  <c r="DD32" i="4" s="1"/>
  <c r="DD41" i="4" a="1"/>
  <c r="DD41" i="4" s="1"/>
  <c r="DD7" i="4" a="1"/>
  <c r="DD7" i="4" s="1"/>
  <c r="DD18" i="4" a="1"/>
  <c r="DD18" i="4" s="1"/>
  <c r="DD47" i="4" a="1"/>
  <c r="DD47" i="4" s="1"/>
  <c r="DD10" i="4" a="1"/>
  <c r="DD10" i="4" s="1"/>
  <c r="DD28" i="4" a="1"/>
  <c r="DD28" i="4" s="1"/>
  <c r="DD36" i="4" a="1"/>
  <c r="DD36" i="4" s="1"/>
  <c r="DD8" i="4" a="1"/>
  <c r="DD8" i="4" s="1"/>
  <c r="DD37" i="4" a="1"/>
  <c r="DD37" i="4" s="1"/>
  <c r="DD54" i="4" a="1"/>
  <c r="DD54" i="4" s="1"/>
  <c r="DD16" i="4" a="1"/>
  <c r="DD16" i="4" s="1"/>
  <c r="E569" i="15"/>
  <c r="E420" i="15"/>
  <c r="E634" i="15"/>
  <c r="DE19" i="4"/>
  <c r="E17" i="4"/>
  <c r="BT17" i="4" s="1"/>
  <c r="E485" i="15"/>
  <c r="E386" i="15"/>
  <c r="E144" i="15"/>
  <c r="E47" i="15"/>
  <c r="E156" i="15"/>
  <c r="E370" i="15"/>
  <c r="E134" i="15"/>
  <c r="CW17" i="4"/>
  <c r="CX17" i="4" s="1"/>
  <c r="DE17" i="4"/>
  <c r="AX1210" i="13"/>
  <c r="A1309" i="13"/>
  <c r="BA84" i="4" a="1"/>
  <c r="BA84" i="4" s="1"/>
  <c r="BB84" i="4" s="1"/>
  <c r="AV186" i="13" s="1"/>
  <c r="B84" i="4"/>
  <c r="F84" i="4" s="1"/>
  <c r="E929" i="15"/>
  <c r="HJ14" i="71"/>
  <c r="E993" i="15"/>
  <c r="IB35" i="71"/>
  <c r="HJ36" i="71"/>
  <c r="GU32" i="71"/>
  <c r="N9" i="9"/>
  <c r="L9" i="9" s="1"/>
  <c r="H22" i="7" a="1"/>
  <c r="H22" i="7" s="1"/>
  <c r="JI5" i="71"/>
  <c r="GR17" i="71"/>
  <c r="A308" i="13"/>
  <c r="AX308" i="13" s="1"/>
  <c r="AX208" i="13"/>
  <c r="HY29" i="71"/>
  <c r="J790" i="15"/>
  <c r="E997" i="15"/>
  <c r="GU27" i="71"/>
  <c r="GL33" i="71"/>
  <c r="GI7" i="71"/>
  <c r="HV14" i="71"/>
  <c r="J871" i="15"/>
  <c r="E848" i="15"/>
  <c r="GI22" i="71"/>
  <c r="B81" i="4"/>
  <c r="BA81" i="4" a="1"/>
  <c r="BA81" i="4" s="1"/>
  <c r="BB81" i="4" s="1"/>
  <c r="AV183" i="13" s="1"/>
  <c r="AX162" i="13"/>
  <c r="A262" i="13"/>
  <c r="AX1230" i="13"/>
  <c r="A1329" i="13"/>
  <c r="J823" i="15"/>
  <c r="K84" i="9"/>
  <c r="E904" i="15"/>
  <c r="GI35" i="71"/>
  <c r="HY14" i="71"/>
  <c r="Z1498" i="13"/>
  <c r="GS38" i="71"/>
  <c r="FK36" i="71"/>
  <c r="A1312" i="13"/>
  <c r="AX1213" i="13"/>
  <c r="JL29" i="71"/>
  <c r="HY25" i="71"/>
  <c r="IB36" i="71"/>
  <c r="HY11" i="71"/>
  <c r="GF6" i="71"/>
  <c r="AX234" i="13"/>
  <c r="A334" i="13"/>
  <c r="AX334" i="13" s="1"/>
  <c r="IE26" i="71"/>
  <c r="IK23" i="71"/>
  <c r="IT25" i="71"/>
  <c r="K92" i="9"/>
  <c r="E330" i="15"/>
  <c r="IW34" i="71"/>
  <c r="E325" i="15"/>
  <c r="E124" i="15"/>
  <c r="E522" i="15"/>
  <c r="E117" i="15"/>
  <c r="E317" i="15"/>
  <c r="E15" i="4"/>
  <c r="BT15" i="4" s="1"/>
  <c r="J96" i="69"/>
  <c r="AV4" i="69" a="1"/>
  <c r="AV4" i="69" s="1"/>
  <c r="AP4" i="69" a="1"/>
  <c r="AP4" i="69" s="1"/>
  <c r="AH4" i="69" a="1"/>
  <c r="AH4" i="69" s="1"/>
  <c r="AL4" i="69" a="1"/>
  <c r="AL4" i="69" s="1"/>
  <c r="AU4" i="69" a="1"/>
  <c r="AU4" i="69" s="1"/>
  <c r="AF4" i="69" a="1"/>
  <c r="AF4" i="69" s="1"/>
  <c r="AS4" i="69" a="1"/>
  <c r="AS4" i="69" s="1"/>
  <c r="DE52" i="4"/>
  <c r="E101" i="15"/>
  <c r="E151" i="15"/>
  <c r="E318" i="15"/>
  <c r="E310" i="15"/>
  <c r="E52" i="4"/>
  <c r="BT52" i="4" s="1"/>
  <c r="CY44" i="4"/>
  <c r="CZ44" i="4" s="1"/>
  <c r="AW44" i="4"/>
  <c r="AY44" i="4"/>
  <c r="F44" i="4"/>
  <c r="AV46" i="13"/>
  <c r="L44" i="4"/>
  <c r="CA44" i="4" s="1"/>
  <c r="Z1340" i="13"/>
  <c r="AP44" i="4"/>
  <c r="AV346" i="13" s="1"/>
  <c r="AV446" i="13" s="1"/>
  <c r="V63" i="22"/>
  <c r="Z1371" i="13"/>
  <c r="AV77" i="13"/>
  <c r="AY75" i="4"/>
  <c r="AW75" i="4"/>
  <c r="AP75" i="4"/>
  <c r="AV377" i="13" s="1"/>
  <c r="AV477" i="13" s="1"/>
  <c r="AY6" i="4"/>
  <c r="AW6" i="4"/>
  <c r="AV8" i="13"/>
  <c r="Z1302" i="13"/>
  <c r="F6" i="4"/>
  <c r="AP6" i="4"/>
  <c r="AV308" i="13" s="1"/>
  <c r="AV408" i="13" s="1"/>
  <c r="W16" i="22"/>
  <c r="Y16" i="22" s="1"/>
  <c r="V16" i="22"/>
  <c r="CW6" i="4"/>
  <c r="CX6" i="4" s="1"/>
  <c r="DA6" i="4" a="1"/>
  <c r="DA6" i="4" s="1"/>
  <c r="AW35" i="4"/>
  <c r="AV37" i="13"/>
  <c r="AY35" i="4"/>
  <c r="F35" i="4"/>
  <c r="Z1331" i="13"/>
  <c r="AP35" i="4"/>
  <c r="AV337" i="13" s="1"/>
  <c r="AV437" i="13" s="1"/>
  <c r="V37" i="22"/>
  <c r="W37" i="22"/>
  <c r="Y37" i="22" s="1"/>
  <c r="CY35" i="4"/>
  <c r="CZ35" i="4" s="1"/>
  <c r="DA35" i="4" a="1"/>
  <c r="DA35" i="4" s="1"/>
  <c r="A1388" i="13"/>
  <c r="AX1289" i="13"/>
  <c r="CV5" i="4"/>
  <c r="W96" i="22"/>
  <c r="Y96" i="22" s="1"/>
  <c r="AW64" i="4"/>
  <c r="Z1360" i="13"/>
  <c r="AY64" i="4"/>
  <c r="AV66" i="13"/>
  <c r="AP64" i="4"/>
  <c r="AV366" i="13" s="1"/>
  <c r="AV466" i="13" s="1"/>
  <c r="CW39" i="4"/>
  <c r="CX39" i="4" s="1"/>
  <c r="AV81" i="13"/>
  <c r="AY79" i="4"/>
  <c r="AW79" i="4"/>
  <c r="Z1375" i="13"/>
  <c r="F79" i="4"/>
  <c r="L79" i="4"/>
  <c r="CA79" i="4" s="1"/>
  <c r="AP79" i="4"/>
  <c r="AV381" i="13" s="1"/>
  <c r="AV481" i="13" s="1"/>
  <c r="IB15" i="71"/>
  <c r="AX221" i="13"/>
  <c r="A321" i="13"/>
  <c r="AX321" i="13" s="1"/>
  <c r="AS91" i="4"/>
  <c r="AV693" i="13" s="1"/>
  <c r="AX91" i="4"/>
  <c r="AX1234" i="13"/>
  <c r="A1333" i="13"/>
  <c r="BA85" i="4" a="1"/>
  <c r="BA85" i="4" s="1"/>
  <c r="BB85" i="4" s="1"/>
  <c r="AV187" i="13" s="1"/>
  <c r="B85" i="4"/>
  <c r="AP85" i="4" s="1"/>
  <c r="AV387" i="13" s="1"/>
  <c r="AV487" i="13" s="1"/>
  <c r="A349" i="13"/>
  <c r="AX349" i="13" s="1"/>
  <c r="AX249" i="13"/>
  <c r="JF25" i="71"/>
  <c r="GC20" i="71"/>
  <c r="E957" i="15"/>
  <c r="GX9" i="71"/>
  <c r="A94" i="72"/>
  <c r="FH15" i="71"/>
  <c r="E920" i="15"/>
  <c r="HA5" i="71"/>
  <c r="H14" i="7" a="1"/>
  <c r="H14" i="7" s="1"/>
  <c r="IN5" i="71"/>
  <c r="E955" i="15"/>
  <c r="M55" i="9"/>
  <c r="HM14" i="71"/>
  <c r="AB94" i="69" a="1"/>
  <c r="AB94" i="69" s="1"/>
  <c r="FT13" i="71"/>
  <c r="GC33" i="71"/>
  <c r="DA31" i="4" a="1"/>
  <c r="DA31" i="4" s="1"/>
  <c r="H81" i="9"/>
  <c r="H76" i="9"/>
  <c r="A96" i="69"/>
  <c r="E691" i="15"/>
  <c r="JR32" i="71"/>
  <c r="IO38" i="71"/>
  <c r="E793" i="15"/>
  <c r="FZ31" i="71"/>
  <c r="N33" i="9"/>
  <c r="L33" i="9" s="1"/>
  <c r="FQ35" i="71"/>
  <c r="IZ22" i="71"/>
  <c r="DA8" i="4" a="1"/>
  <c r="DA8" i="4" s="1"/>
  <c r="FZ22" i="71"/>
  <c r="GU17" i="71"/>
  <c r="FW32" i="71"/>
  <c r="FQ22" i="71"/>
  <c r="HY20" i="71"/>
  <c r="E915" i="15"/>
  <c r="K27" i="9"/>
  <c r="IW6" i="71"/>
  <c r="J761" i="15"/>
  <c r="JR27" i="71"/>
  <c r="HV34" i="71"/>
  <c r="CW47" i="4"/>
  <c r="CX47" i="4" s="1"/>
  <c r="E100" i="15"/>
  <c r="E193" i="15"/>
  <c r="E416" i="15"/>
  <c r="J548" i="15"/>
  <c r="M72" i="9"/>
  <c r="W60" i="22"/>
  <c r="Y60" i="22" s="1"/>
  <c r="K90" i="9"/>
  <c r="E658" i="15"/>
  <c r="HA12" i="71"/>
  <c r="J828" i="15"/>
  <c r="FH4" i="71"/>
  <c r="N65" i="9"/>
  <c r="L65" i="9" s="1"/>
  <c r="IK17" i="71"/>
  <c r="IB30" i="71"/>
  <c r="HS31" i="71"/>
  <c r="GX18" i="71"/>
  <c r="FH33" i="71"/>
  <c r="BT13" i="4"/>
  <c r="BD13" i="4"/>
  <c r="HM20" i="71"/>
  <c r="J673" i="15"/>
  <c r="E710" i="15"/>
  <c r="JF6" i="71"/>
  <c r="AV107" i="13"/>
  <c r="AY83" i="4"/>
  <c r="AV85" i="13"/>
  <c r="AW83" i="4"/>
  <c r="Z1379" i="13"/>
  <c r="CY54" i="4"/>
  <c r="CZ54" i="4" s="1"/>
  <c r="Z1350" i="13"/>
  <c r="F54" i="4"/>
  <c r="AY54" i="4"/>
  <c r="AW54" i="4"/>
  <c r="AV56" i="13"/>
  <c r="AP54" i="4"/>
  <c r="AV356" i="13" s="1"/>
  <c r="AV456" i="13" s="1"/>
  <c r="V75" i="22"/>
  <c r="W75" i="22"/>
  <c r="CY19" i="4"/>
  <c r="CZ19" i="4" s="1"/>
  <c r="F19" i="4"/>
  <c r="AY19" i="4"/>
  <c r="AW19" i="4"/>
  <c r="AV21" i="13"/>
  <c r="Z1315" i="13"/>
  <c r="AP19" i="4"/>
  <c r="AV321" i="13" s="1"/>
  <c r="AV421" i="13" s="1"/>
  <c r="V27" i="22"/>
  <c r="W27" i="22"/>
  <c r="Y27" i="22" s="1"/>
  <c r="DA19" i="4" a="1"/>
  <c r="DA19" i="4" s="1"/>
  <c r="CW19" i="4"/>
  <c r="CX19" i="4" s="1"/>
  <c r="DA39" i="4" a="1"/>
  <c r="DA39" i="4" s="1"/>
  <c r="Z1320" i="13"/>
  <c r="AY24" i="4"/>
  <c r="AV26" i="13"/>
  <c r="AW24" i="4"/>
  <c r="F24" i="4"/>
  <c r="AP24" i="4"/>
  <c r="AV326" i="13" s="1"/>
  <c r="AV426" i="13" s="1"/>
  <c r="V39" i="22"/>
  <c r="W39" i="22"/>
  <c r="Y39" i="22" s="1"/>
  <c r="DA24" i="4" a="1"/>
  <c r="DA24" i="4" s="1"/>
  <c r="CW24" i="4"/>
  <c r="CX24" i="4" s="1"/>
  <c r="AV86" i="13"/>
  <c r="Z1380" i="13"/>
  <c r="AW84" i="4"/>
  <c r="AY84" i="4"/>
  <c r="A1377" i="13"/>
  <c r="AX1278" i="13"/>
  <c r="B94" i="4"/>
  <c r="BA94" i="4" a="1"/>
  <c r="BA94" i="4" s="1"/>
  <c r="BB94" i="4" s="1"/>
  <c r="AV196" i="13" s="1"/>
  <c r="J599" i="15"/>
  <c r="N598" i="15" s="1" a="1"/>
  <c r="N598" i="15" s="1"/>
  <c r="AX1218" i="13"/>
  <c r="A1317" i="13"/>
  <c r="CW54" i="4"/>
  <c r="CX54" i="4" s="1"/>
  <c r="J965" i="15"/>
  <c r="J945" i="15"/>
  <c r="IB6" i="71"/>
  <c r="IK28" i="71"/>
  <c r="AB95" i="72" a="1"/>
  <c r="AB95" i="72" s="1"/>
  <c r="GM38" i="71"/>
  <c r="E885" i="15"/>
  <c r="IE25" i="71"/>
  <c r="K43" i="9"/>
  <c r="J721" i="15"/>
  <c r="E946" i="15"/>
  <c r="HV13" i="71"/>
  <c r="B86" i="4"/>
  <c r="CW86" i="4" s="1"/>
  <c r="CX86" i="4" s="1"/>
  <c r="BA86" i="4" a="1"/>
  <c r="BA86" i="4" s="1"/>
  <c r="BB86" i="4" s="1"/>
  <c r="AV188" i="13" s="1"/>
  <c r="A1304" i="13"/>
  <c r="AX1205" i="13"/>
  <c r="AX279" i="13"/>
  <c r="A379" i="13"/>
  <c r="AX379" i="13" s="1"/>
  <c r="B88" i="4"/>
  <c r="BA88" i="4" a="1"/>
  <c r="BA88" i="4" s="1"/>
  <c r="BB88" i="4" s="1"/>
  <c r="AV190" i="13" s="1"/>
  <c r="BD79" i="4"/>
  <c r="GR16" i="71"/>
  <c r="FZ26" i="71"/>
  <c r="GF12" i="71"/>
  <c r="E878" i="15"/>
  <c r="GL12" i="71"/>
  <c r="HM19" i="71"/>
  <c r="IW25" i="71"/>
  <c r="E781" i="15"/>
  <c r="N21" i="9"/>
  <c r="L21" i="9" s="1"/>
  <c r="AN95" i="69"/>
  <c r="E19" i="4"/>
  <c r="BT19" i="4" s="1"/>
  <c r="DA40" i="4" a="1"/>
  <c r="DA40" i="4" s="1"/>
  <c r="BB79" i="4"/>
  <c r="AV181" i="13" s="1"/>
  <c r="N62" i="9"/>
  <c r="L62" i="9" s="1"/>
  <c r="J950" i="15"/>
  <c r="M32" i="9"/>
  <c r="IZ23" i="71"/>
  <c r="IQ5" i="71"/>
  <c r="J503" i="15"/>
  <c r="N60" i="9"/>
  <c r="L60" i="9" s="1"/>
  <c r="J764" i="15"/>
  <c r="J791" i="15"/>
  <c r="JL6" i="71"/>
  <c r="DB70" i="4"/>
  <c r="CU70" i="4"/>
  <c r="CV70" i="4" s="1"/>
  <c r="AX70" i="4"/>
  <c r="BA71" i="4" a="1"/>
  <c r="BA71" i="4" s="1"/>
  <c r="BB71" i="4" s="1"/>
  <c r="AV173" i="13" s="1"/>
  <c r="B71" i="4"/>
  <c r="F71" i="4" s="1"/>
  <c r="AX1158" i="13"/>
  <c r="A1257" i="13"/>
  <c r="AX282" i="13"/>
  <c r="A382" i="13"/>
  <c r="AX382" i="13" s="1"/>
  <c r="N72" i="9"/>
  <c r="L72" i="9" s="1"/>
  <c r="HA29" i="71"/>
  <c r="FZ17" i="71"/>
  <c r="J706" i="15"/>
  <c r="IN17" i="71"/>
  <c r="J977" i="15"/>
  <c r="A391" i="13"/>
  <c r="AX391" i="13" s="1"/>
  <c r="AX291" i="13"/>
  <c r="E775" i="15"/>
  <c r="JR5" i="71"/>
  <c r="E789" i="15"/>
  <c r="K33" i="9"/>
  <c r="JX29" i="71"/>
  <c r="E931" i="15"/>
  <c r="AX1233" i="13"/>
  <c r="A1332" i="13"/>
  <c r="AX278" i="13"/>
  <c r="A378" i="13"/>
  <c r="AX378" i="13" s="1"/>
  <c r="J753" i="15"/>
  <c r="J685" i="15"/>
  <c r="N92" i="9"/>
  <c r="L92" i="9" s="1"/>
  <c r="E765" i="15"/>
  <c r="GI11" i="71"/>
  <c r="R94" i="69"/>
  <c r="BB94" i="69"/>
  <c r="BL94" i="69" a="1"/>
  <c r="BL94" i="69" s="1"/>
  <c r="BK94" i="69"/>
  <c r="E94" i="69"/>
  <c r="CW5" i="4"/>
  <c r="CX5" i="4" s="1"/>
  <c r="N58" i="72" a="1"/>
  <c r="N58" i="72" s="1"/>
  <c r="AA58" i="72"/>
  <c r="J58" i="72"/>
  <c r="AC58" i="72"/>
  <c r="P58" i="72"/>
  <c r="L58" i="72"/>
  <c r="V58" i="72"/>
  <c r="BU58" i="72"/>
  <c r="A58" i="72"/>
  <c r="Z58" i="72"/>
  <c r="Y58" i="72"/>
  <c r="W58" i="72"/>
  <c r="BQ58" i="72" s="1" a="1"/>
  <c r="BQ58" i="72" s="1"/>
  <c r="BC58" i="72"/>
  <c r="AS58" i="72"/>
  <c r="AB58" i="72" a="1"/>
  <c r="AB58" i="72" s="1"/>
  <c r="Q58" i="72"/>
  <c r="BB58" i="72"/>
  <c r="AV76" i="13"/>
  <c r="AW74" i="4"/>
  <c r="AY74" i="4"/>
  <c r="Z1370" i="13"/>
  <c r="CY74" i="4"/>
  <c r="CZ74" i="4" s="1"/>
  <c r="Z1366" i="13"/>
  <c r="AV72" i="13"/>
  <c r="AY70" i="4"/>
  <c r="AW70" i="4"/>
  <c r="A1330" i="13"/>
  <c r="AX1231" i="13"/>
  <c r="AX241" i="13"/>
  <c r="A341" i="13"/>
  <c r="AX341" i="13" s="1"/>
  <c r="AV74" i="13"/>
  <c r="Z1368" i="13"/>
  <c r="AY72" i="4"/>
  <c r="AW72" i="4"/>
  <c r="F72" i="4"/>
  <c r="AP72" i="4"/>
  <c r="AV374" i="13" s="1"/>
  <c r="AV474" i="13" s="1"/>
  <c r="Z1372" i="13"/>
  <c r="AV78" i="13"/>
  <c r="AW76" i="4"/>
  <c r="AY76" i="4"/>
  <c r="AW77" i="4"/>
  <c r="Z1373" i="13"/>
  <c r="AY77" i="4"/>
  <c r="AV79" i="13"/>
  <c r="F77" i="4"/>
  <c r="A1366" i="13"/>
  <c r="AX1267" i="13"/>
  <c r="AW67" i="4"/>
  <c r="AV69" i="13"/>
  <c r="Z1363" i="13"/>
  <c r="AY67" i="4"/>
  <c r="F41" i="4"/>
  <c r="Z1337" i="13"/>
  <c r="AY41" i="4"/>
  <c r="AW41" i="4"/>
  <c r="AV43" i="13"/>
  <c r="L41" i="4"/>
  <c r="CA41" i="4" s="1"/>
  <c r="AP41" i="4"/>
  <c r="AV343" i="13" s="1"/>
  <c r="AV443" i="13" s="1"/>
  <c r="W59" i="22"/>
  <c r="Y59" i="22" s="1"/>
  <c r="V59" i="22"/>
  <c r="H37" i="71"/>
  <c r="Z1378" i="13"/>
  <c r="AV84" i="13"/>
  <c r="AY82" i="4"/>
  <c r="AW82" i="4"/>
  <c r="AX294" i="13"/>
  <c r="A394" i="13"/>
  <c r="AX394" i="13" s="1"/>
  <c r="Z1382" i="13"/>
  <c r="AY86" i="4"/>
  <c r="AV88" i="13"/>
  <c r="AW86" i="4"/>
  <c r="W51" i="22"/>
  <c r="Y51" i="22" s="1"/>
  <c r="JI26" i="71"/>
  <c r="M30" i="9"/>
  <c r="M10" i="9"/>
  <c r="N97" i="9"/>
  <c r="L97" i="9" s="1"/>
  <c r="IN36" i="71"/>
  <c r="HG5" i="71"/>
  <c r="A1359" i="13"/>
  <c r="AX1260" i="13"/>
  <c r="A364" i="13"/>
  <c r="AX364" i="13" s="1"/>
  <c r="AX264" i="13"/>
  <c r="AX724" i="13"/>
  <c r="Z701" i="13"/>
  <c r="X701" i="13"/>
  <c r="S701" i="13"/>
  <c r="U701" i="13"/>
  <c r="Q701" i="13"/>
  <c r="V701" i="13"/>
  <c r="M701" i="13"/>
  <c r="R701" i="13"/>
  <c r="G701" i="13"/>
  <c r="H701" i="13"/>
  <c r="F701" i="13"/>
  <c r="N701" i="13"/>
  <c r="J701" i="13"/>
  <c r="T701" i="13"/>
  <c r="I701" i="13"/>
  <c r="K701" i="13"/>
  <c r="O701" i="13"/>
  <c r="W701" i="13"/>
  <c r="L701" i="13"/>
  <c r="Y701" i="13"/>
  <c r="P701" i="13"/>
  <c r="E21" i="4"/>
  <c r="BT21" i="4" s="1"/>
  <c r="E103" i="15"/>
  <c r="E440" i="15"/>
  <c r="E290" i="15"/>
  <c r="E491" i="15"/>
  <c r="E488" i="15"/>
  <c r="E247" i="15"/>
  <c r="E335" i="15"/>
  <c r="E250" i="15"/>
  <c r="E299" i="15"/>
  <c r="E174" i="15"/>
  <c r="E223" i="15"/>
  <c r="E407" i="15"/>
  <c r="E540" i="15"/>
  <c r="E643" i="15"/>
  <c r="E476" i="15"/>
  <c r="DE21" i="4"/>
  <c r="CW21" i="4"/>
  <c r="CX21" i="4" s="1"/>
  <c r="A1374" i="13"/>
  <c r="AX1275" i="13"/>
  <c r="AX1273" i="13"/>
  <c r="A1372" i="13"/>
  <c r="AS85" i="4"/>
  <c r="AV687" i="13" s="1"/>
  <c r="AS80" i="4"/>
  <c r="AV682" i="13" s="1"/>
  <c r="AX1054" i="13"/>
  <c r="AX457" i="13"/>
  <c r="A1054" i="13"/>
  <c r="A756" i="13"/>
  <c r="AX756" i="13" s="1"/>
  <c r="A955" i="13"/>
  <c r="AX955" i="13" s="1"/>
  <c r="A657" i="13"/>
  <c r="A157" i="13"/>
  <c r="A457" i="13"/>
  <c r="A1153" i="13"/>
  <c r="A557" i="13"/>
  <c r="AX57" i="13"/>
  <c r="A856" i="13"/>
  <c r="AX856" i="13" s="1"/>
  <c r="AX657" i="13"/>
  <c r="AX557" i="13"/>
  <c r="E686" i="15"/>
  <c r="GF17" i="71"/>
  <c r="E861" i="15"/>
  <c r="E888" i="15"/>
  <c r="K41" i="9"/>
  <c r="FH20" i="71"/>
  <c r="IH9" i="71"/>
  <c r="J697" i="15"/>
  <c r="GR4" i="71"/>
  <c r="IZ17" i="71"/>
  <c r="J994" i="15"/>
  <c r="J922" i="15"/>
  <c r="H60" i="9"/>
  <c r="B90" i="4"/>
  <c r="F90" i="4" s="1"/>
  <c r="BA90" i="4" a="1"/>
  <c r="BA90" i="4" s="1"/>
  <c r="BB90" i="4" s="1"/>
  <c r="AV192" i="13" s="1"/>
  <c r="AX1259" i="13"/>
  <c r="A1358" i="13"/>
  <c r="IW36" i="71"/>
  <c r="IK10" i="71"/>
  <c r="HS29" i="71"/>
  <c r="FW12" i="71"/>
  <c r="E608" i="15"/>
  <c r="HM24" i="71"/>
  <c r="GC16" i="71"/>
  <c r="JF24" i="71"/>
  <c r="J980" i="15"/>
  <c r="GU14" i="71"/>
  <c r="FR38" i="71"/>
  <c r="AS64" i="4"/>
  <c r="AV666" i="13" s="1"/>
  <c r="A317" i="13"/>
  <c r="AX317" i="13" s="1"/>
  <c r="AX217" i="13"/>
  <c r="AS76" i="4"/>
  <c r="AV678" i="13" s="1"/>
  <c r="DE79" i="4"/>
  <c r="E846" i="15"/>
  <c r="JX26" i="71"/>
  <c r="J731" i="15"/>
  <c r="J728" i="15"/>
  <c r="HH38" i="71"/>
  <c r="FT18" i="71"/>
  <c r="JL20" i="71"/>
  <c r="FT16" i="71"/>
  <c r="IE28" i="71"/>
  <c r="K21" i="9"/>
  <c r="W95" i="69"/>
  <c r="BA70" i="4" a="1"/>
  <c r="BA70" i="4" s="1"/>
  <c r="BB70" i="4" s="1"/>
  <c r="AV172" i="13" s="1"/>
  <c r="B70" i="4"/>
  <c r="CW70" i="4" s="1"/>
  <c r="CX70" i="4" s="1"/>
  <c r="A1348" i="13"/>
  <c r="AX1249" i="13"/>
  <c r="AX1244" i="13"/>
  <c r="A1343" i="13"/>
  <c r="HS33" i="71"/>
  <c r="V10" i="22"/>
  <c r="W63" i="22"/>
  <c r="Y63" i="22" s="1"/>
  <c r="J531" i="15"/>
  <c r="K526" i="15" s="1" a="1"/>
  <c r="K526" i="15" s="1"/>
  <c r="F6" i="15"/>
  <c r="J765" i="15"/>
  <c r="E662" i="15"/>
  <c r="AX1283" i="13"/>
  <c r="A1382" i="13"/>
  <c r="A1386" i="13"/>
  <c r="AX1287" i="13"/>
  <c r="AX1265" i="13"/>
  <c r="A1364" i="13"/>
  <c r="DE43" i="4"/>
  <c r="E586" i="15"/>
  <c r="E381" i="15"/>
  <c r="E252" i="15"/>
  <c r="CW43" i="4"/>
  <c r="CX43" i="4" s="1"/>
  <c r="E43" i="4"/>
  <c r="BT43" i="4" s="1"/>
  <c r="E102" i="15"/>
  <c r="E626" i="15"/>
  <c r="GL20" i="71"/>
  <c r="JX21" i="71"/>
  <c r="E901" i="15"/>
  <c r="GC23" i="71"/>
  <c r="GL8" i="71"/>
  <c r="E75" i="15"/>
  <c r="GR9" i="71"/>
  <c r="GX28" i="71"/>
  <c r="E287" i="15"/>
  <c r="J541" i="15"/>
  <c r="IZ4" i="71"/>
  <c r="J901" i="15"/>
  <c r="H66" i="9"/>
  <c r="J824" i="15"/>
  <c r="AV47" i="13"/>
  <c r="AW45" i="4"/>
  <c r="Z1341" i="13"/>
  <c r="F45" i="4"/>
  <c r="L45" i="4"/>
  <c r="AY45" i="4"/>
  <c r="AP45" i="4"/>
  <c r="AV347" i="13" s="1"/>
  <c r="AV447" i="13" s="1"/>
  <c r="V66" i="22"/>
  <c r="W66" i="22"/>
  <c r="Y66" i="22" s="1"/>
  <c r="CW45" i="4"/>
  <c r="CX45" i="4" s="1"/>
  <c r="CW14" i="4"/>
  <c r="CX14" i="4" s="1"/>
  <c r="AY14" i="4"/>
  <c r="AW14" i="4"/>
  <c r="F14" i="4"/>
  <c r="Z1310" i="13"/>
  <c r="AV16" i="13"/>
  <c r="AP14" i="4"/>
  <c r="AV316" i="13" s="1"/>
  <c r="AV416" i="13" s="1"/>
  <c r="V23" i="22"/>
  <c r="W23" i="22"/>
  <c r="Y23" i="22" s="1"/>
  <c r="CY12" i="4"/>
  <c r="CZ12" i="4" s="1"/>
  <c r="AY12" i="4"/>
  <c r="L12" i="4"/>
  <c r="AW12" i="4"/>
  <c r="AV14" i="13"/>
  <c r="Z1308" i="13"/>
  <c r="F12" i="4"/>
  <c r="AP12" i="4"/>
  <c r="AV314" i="13" s="1"/>
  <c r="AV414" i="13" s="1"/>
  <c r="W21" i="22"/>
  <c r="Y21" i="22" s="1"/>
  <c r="V21" i="22"/>
  <c r="DA12" i="4" a="1"/>
  <c r="DA12" i="4" s="1"/>
  <c r="DA7" i="4" a="1"/>
  <c r="DA7" i="4" s="1"/>
  <c r="AW7" i="4"/>
  <c r="AY7" i="4"/>
  <c r="Z1303" i="13"/>
  <c r="F7" i="4"/>
  <c r="AV9" i="13"/>
  <c r="L7" i="4"/>
  <c r="AP7" i="4"/>
  <c r="AV309" i="13" s="1"/>
  <c r="AV409" i="13" s="1"/>
  <c r="W28" i="22"/>
  <c r="Y28" i="22" s="1"/>
  <c r="V28" i="22"/>
  <c r="AW57" i="4"/>
  <c r="Z1353" i="13"/>
  <c r="AV59" i="13"/>
  <c r="AY57" i="4"/>
  <c r="CY57" i="4"/>
  <c r="CZ57" i="4" s="1"/>
  <c r="E527" i="15"/>
  <c r="E149" i="15"/>
  <c r="E369" i="15"/>
  <c r="E104" i="15"/>
  <c r="E564" i="15"/>
  <c r="E573" i="15"/>
  <c r="E572" i="15"/>
  <c r="M571" i="15" s="1" a="1"/>
  <c r="M571" i="15" s="1"/>
  <c r="E235" i="15"/>
  <c r="E232" i="15"/>
  <c r="CY28" i="4"/>
  <c r="CZ28" i="4" s="1"/>
  <c r="Z1324" i="13"/>
  <c r="L28" i="4"/>
  <c r="AV30" i="13"/>
  <c r="AW28" i="4"/>
  <c r="AY28" i="4"/>
  <c r="F28" i="4"/>
  <c r="AP28" i="4"/>
  <c r="AV330" i="13" s="1"/>
  <c r="AV430" i="13" s="1"/>
  <c r="CW28" i="4"/>
  <c r="CX28" i="4" s="1"/>
  <c r="DA28" i="4" a="1"/>
  <c r="DA28" i="4" s="1"/>
  <c r="F37" i="4"/>
  <c r="AW37" i="4"/>
  <c r="AY37" i="4"/>
  <c r="Z1333" i="13"/>
  <c r="AV39" i="13"/>
  <c r="AP37" i="4"/>
  <c r="AV339" i="13" s="1"/>
  <c r="AV439" i="13" s="1"/>
  <c r="DA37" i="4" a="1"/>
  <c r="DA37" i="4" s="1"/>
  <c r="V56" i="22"/>
  <c r="CW37" i="4"/>
  <c r="CX37" i="4" s="1"/>
  <c r="W56" i="22"/>
  <c r="Y56" i="22" s="1"/>
  <c r="CW53" i="4"/>
  <c r="CX53" i="4" s="1"/>
  <c r="W93" i="22"/>
  <c r="Y93" i="22" s="1"/>
  <c r="AY61" i="4"/>
  <c r="AV63" i="13"/>
  <c r="Z1357" i="13"/>
  <c r="AW61" i="4"/>
  <c r="E53" i="4"/>
  <c r="CW51" i="4"/>
  <c r="CX51" i="4" s="1"/>
  <c r="A324" i="13"/>
  <c r="AX324" i="13" s="1"/>
  <c r="AX224" i="13"/>
  <c r="BA66" i="4" a="1"/>
  <c r="BA66" i="4" s="1"/>
  <c r="BB66" i="4" s="1"/>
  <c r="AV168" i="13" s="1"/>
  <c r="B66" i="4"/>
  <c r="F66" i="4" s="1"/>
  <c r="AX1121" i="13"/>
  <c r="A1220" i="13"/>
  <c r="CU82" i="4"/>
  <c r="CV82" i="4" s="1"/>
  <c r="DB82" i="4"/>
  <c r="AX82" i="4"/>
  <c r="DA82" i="4" a="1"/>
  <c r="DA82" i="4" s="1"/>
  <c r="O57" i="14" a="1"/>
  <c r="O57" i="14" s="1"/>
  <c r="B57" i="14" s="1"/>
  <c r="D55" i="1"/>
  <c r="I55" i="4"/>
  <c r="FE23" i="71" s="1"/>
  <c r="W98" i="22"/>
  <c r="Y98" i="22" s="1"/>
  <c r="A55" i="20"/>
  <c r="BC55" i="4" a="1"/>
  <c r="BC55" i="4" s="1"/>
  <c r="BC97" i="4" s="1"/>
  <c r="C55" i="4"/>
  <c r="BS55" i="4"/>
  <c r="BU55" i="4" a="1"/>
  <c r="BU55" i="4" s="1"/>
  <c r="S87" i="22"/>
  <c r="M55" i="4"/>
  <c r="K55" i="4"/>
  <c r="AZ55" i="4"/>
  <c r="A55" i="4"/>
  <c r="D55" i="4"/>
  <c r="BV55" i="4" a="1"/>
  <c r="BV55" i="4" s="1"/>
  <c r="A57" i="9"/>
  <c r="W90" i="22"/>
  <c r="Z90" i="22" s="1"/>
  <c r="HW38" i="71"/>
  <c r="AC94" i="72"/>
  <c r="P95" i="72"/>
  <c r="HY32" i="71"/>
  <c r="E702" i="15"/>
  <c r="N17" i="9"/>
  <c r="L17" i="9" s="1"/>
  <c r="FN18" i="71"/>
  <c r="GO11" i="71"/>
  <c r="M89" i="9"/>
  <c r="JO15" i="71"/>
  <c r="E917" i="15"/>
  <c r="E863" i="15"/>
  <c r="FQ26" i="71"/>
  <c r="W58" i="22"/>
  <c r="Y58" i="22" s="1"/>
  <c r="J984" i="15"/>
  <c r="EJ27" i="71"/>
  <c r="JL14" i="71"/>
  <c r="IW27" i="71"/>
  <c r="GL28" i="71"/>
  <c r="E719" i="15"/>
  <c r="AC94" i="69"/>
  <c r="GO25" i="71"/>
  <c r="JR33" i="71"/>
  <c r="EJ6" i="71"/>
  <c r="FK6" i="71"/>
  <c r="J833" i="15"/>
  <c r="GX20" i="71"/>
  <c r="E131" i="15"/>
  <c r="E733" i="15"/>
  <c r="GR30" i="71"/>
  <c r="JR34" i="71"/>
  <c r="HV4" i="71"/>
  <c r="E812" i="15"/>
  <c r="HY22" i="71"/>
  <c r="M34" i="9"/>
  <c r="J881" i="15"/>
  <c r="HM30" i="71"/>
  <c r="E505" i="15"/>
  <c r="GL31" i="71"/>
  <c r="GO36" i="71"/>
  <c r="FQ30" i="71"/>
  <c r="FH16" i="71"/>
  <c r="HS30" i="71"/>
  <c r="FW36" i="71"/>
  <c r="GR13" i="71"/>
  <c r="GI18" i="71"/>
  <c r="FN28" i="71"/>
  <c r="HG15" i="71"/>
  <c r="J982" i="15"/>
  <c r="JF29" i="71"/>
  <c r="HA17" i="71"/>
  <c r="IH23" i="71"/>
  <c r="E649" i="15"/>
  <c r="JO14" i="71"/>
  <c r="IB17" i="71"/>
  <c r="GR35" i="71"/>
  <c r="E740" i="15"/>
  <c r="J969" i="15"/>
  <c r="GX22" i="71"/>
  <c r="HV32" i="71"/>
  <c r="E339" i="15"/>
  <c r="IH10" i="71"/>
  <c r="K70" i="9"/>
  <c r="FN9" i="71"/>
  <c r="GC15" i="71"/>
  <c r="IQ20" i="71"/>
  <c r="K45" i="9"/>
  <c r="GF9" i="71"/>
  <c r="E918" i="15"/>
  <c r="HJ20" i="71"/>
  <c r="HG23" i="71"/>
  <c r="GX23" i="71"/>
  <c r="J659" i="15"/>
  <c r="K69" i="9"/>
  <c r="K75" i="9"/>
  <c r="J898" i="15"/>
  <c r="JO18" i="71"/>
  <c r="IN20" i="71"/>
  <c r="IZ16" i="71"/>
  <c r="N30" i="9"/>
  <c r="L30" i="9" s="1"/>
  <c r="GP38" i="71"/>
  <c r="N96" i="9"/>
  <c r="L96" i="9" s="1"/>
  <c r="K23" i="9"/>
  <c r="M23" i="9"/>
  <c r="IZ36" i="71"/>
  <c r="N15" i="9"/>
  <c r="L15" i="9" s="1"/>
  <c r="IE33" i="71"/>
  <c r="HN38" i="71"/>
  <c r="E764" i="15"/>
  <c r="HD23" i="71"/>
  <c r="K24" i="9"/>
  <c r="J805" i="15"/>
  <c r="HV18" i="71"/>
  <c r="J690" i="15"/>
  <c r="N6" i="9"/>
  <c r="L6" i="9" s="1"/>
  <c r="EJ4" i="71"/>
  <c r="GR21" i="71"/>
  <c r="E696" i="15"/>
  <c r="J921" i="15"/>
  <c r="H94" i="9"/>
  <c r="E731" i="15"/>
  <c r="GU36" i="71"/>
  <c r="E860" i="15"/>
  <c r="E864" i="15"/>
  <c r="E874" i="15"/>
  <c r="E847" i="15"/>
  <c r="JX4" i="71"/>
  <c r="HG11" i="71"/>
  <c r="K97" i="9"/>
  <c r="E987" i="15"/>
  <c r="E718" i="15"/>
  <c r="JL36" i="71"/>
  <c r="FN23" i="71"/>
  <c r="E806" i="15"/>
  <c r="GO17" i="71"/>
  <c r="GX36" i="71"/>
  <c r="N96" i="72" a="1"/>
  <c r="N96" i="72" s="1"/>
  <c r="HY31" i="71"/>
  <c r="HG36" i="71"/>
  <c r="E725" i="15"/>
  <c r="E680" i="15"/>
  <c r="FQ36" i="71"/>
  <c r="J937" i="15"/>
  <c r="J669" i="15"/>
  <c r="IK7" i="71"/>
  <c r="HG18" i="71"/>
  <c r="J866" i="15"/>
  <c r="IB28" i="71"/>
  <c r="N43" i="9"/>
  <c r="L43" i="9" s="1"/>
  <c r="GU18" i="71"/>
  <c r="J763" i="15"/>
  <c r="FK4" i="71"/>
  <c r="H69" i="9"/>
  <c r="J849" i="15"/>
  <c r="J882" i="15"/>
  <c r="JC10" i="71"/>
  <c r="HD36" i="71"/>
  <c r="H15" i="7" a="1"/>
  <c r="H15" i="7" s="1"/>
  <c r="JX28" i="71"/>
  <c r="E868" i="15"/>
  <c r="E822" i="15"/>
  <c r="V11" i="22"/>
  <c r="GI9" i="71"/>
  <c r="JO12" i="71"/>
  <c r="HA32" i="71"/>
  <c r="H16" i="7" a="1"/>
  <c r="H16" i="7" s="1"/>
  <c r="FZ34" i="71"/>
  <c r="E796" i="15"/>
  <c r="E805" i="15"/>
  <c r="GI5" i="71"/>
  <c r="M29" i="9"/>
  <c r="GL30" i="71"/>
  <c r="H13" i="7" a="1"/>
  <c r="H13" i="7" s="1"/>
  <c r="E716" i="15"/>
  <c r="E826" i="15"/>
  <c r="JR8" i="71"/>
  <c r="JU27" i="71"/>
  <c r="GI31" i="71"/>
  <c r="E981" i="15"/>
  <c r="E654" i="15"/>
  <c r="JX24" i="71"/>
  <c r="JA38" i="71"/>
  <c r="BC95" i="72"/>
  <c r="J825" i="15"/>
  <c r="E689" i="15"/>
  <c r="E678" i="15"/>
  <c r="HM17" i="71"/>
  <c r="JI17" i="71"/>
  <c r="E794" i="15"/>
  <c r="E845" i="15"/>
  <c r="J729" i="15"/>
  <c r="J715" i="15"/>
  <c r="IW5" i="71"/>
  <c r="GO32" i="71"/>
  <c r="JC15" i="71"/>
  <c r="JR26" i="71"/>
  <c r="E856" i="15"/>
  <c r="HZ38" i="71"/>
  <c r="K62" i="9"/>
  <c r="JO7" i="71"/>
  <c r="M44" i="9"/>
  <c r="J716" i="15"/>
  <c r="HP11" i="71"/>
  <c r="E866" i="15"/>
  <c r="HD33" i="71"/>
  <c r="GC32" i="71"/>
  <c r="FH12" i="71"/>
  <c r="N50" i="9"/>
  <c r="L50" i="9" s="1"/>
  <c r="HV30" i="71"/>
  <c r="HT38" i="71"/>
  <c r="GU13" i="71"/>
  <c r="JF19" i="71"/>
  <c r="FK10" i="71"/>
  <c r="IW9" i="71"/>
  <c r="HA34" i="71"/>
  <c r="F10" i="15"/>
  <c r="K8" i="9"/>
  <c r="HE38" i="71"/>
  <c r="M51" i="9"/>
  <c r="FK34" i="71"/>
  <c r="FQ21" i="71"/>
  <c r="FW7" i="71"/>
  <c r="GO19" i="71"/>
  <c r="E949" i="15"/>
  <c r="Z1499" i="13"/>
  <c r="E780" i="15"/>
  <c r="J772" i="15"/>
  <c r="J587" i="15"/>
  <c r="K578" i="15" s="1" a="1"/>
  <c r="K578" i="15" s="1"/>
  <c r="E348" i="15"/>
  <c r="M40" i="9"/>
  <c r="HD10" i="71"/>
  <c r="JI24" i="71"/>
  <c r="HS11" i="71"/>
  <c r="JL15" i="71"/>
  <c r="GC35" i="71"/>
  <c r="HJ35" i="71"/>
  <c r="J714" i="15"/>
  <c r="J768" i="15"/>
  <c r="IT18" i="71"/>
  <c r="IN18" i="71"/>
  <c r="GC17" i="71"/>
  <c r="JR9" i="71"/>
  <c r="EJ29" i="71"/>
  <c r="FQ27" i="71"/>
  <c r="J840" i="15"/>
  <c r="JU22" i="71"/>
  <c r="EJ18" i="71"/>
  <c r="GC21" i="71"/>
  <c r="JR7" i="71"/>
  <c r="JU9" i="71"/>
  <c r="M42" i="9"/>
  <c r="JO23" i="71"/>
  <c r="E979" i="15"/>
  <c r="JU18" i="71"/>
  <c r="FZ29" i="71"/>
  <c r="J960" i="15"/>
  <c r="H17" i="7" a="1"/>
  <c r="H17" i="7" s="1"/>
  <c r="JL5" i="71"/>
  <c r="N85" i="9"/>
  <c r="L85" i="9" s="1"/>
  <c r="JX27" i="71"/>
  <c r="FU38" i="71"/>
  <c r="J888" i="15"/>
  <c r="N67" i="9"/>
  <c r="L67" i="9" s="1"/>
  <c r="FZ15" i="71"/>
  <c r="E862" i="15"/>
  <c r="E896" i="15"/>
  <c r="IB13" i="71"/>
  <c r="HJ4" i="71"/>
  <c r="FH19" i="71"/>
  <c r="J908" i="15"/>
  <c r="FH24" i="71"/>
  <c r="F16" i="15"/>
  <c r="GL19" i="71"/>
  <c r="M90" i="9"/>
  <c r="E879" i="15"/>
  <c r="FH22" i="71"/>
  <c r="AB95" i="69" a="1"/>
  <c r="AB95" i="69" s="1"/>
  <c r="IB23" i="71"/>
  <c r="JO9" i="71"/>
  <c r="K72" i="9"/>
  <c r="K7" i="9"/>
  <c r="IQ14" i="71"/>
  <c r="E907" i="15"/>
  <c r="N35" i="9"/>
  <c r="L35" i="9" s="1"/>
  <c r="E825" i="15"/>
  <c r="IE36" i="71"/>
  <c r="E843" i="15"/>
  <c r="J94" i="72"/>
  <c r="IQ31" i="71"/>
  <c r="IQ8" i="71"/>
  <c r="I16" i="15" a="1"/>
  <c r="I16" i="15" s="1"/>
  <c r="E928" i="15"/>
  <c r="IE7" i="71"/>
  <c r="FH27" i="71"/>
  <c r="J926" i="15"/>
  <c r="IQ11" i="71"/>
  <c r="M22" i="9"/>
  <c r="JR17" i="71"/>
  <c r="HG17" i="71"/>
  <c r="E735" i="15"/>
  <c r="FT33" i="71"/>
  <c r="H18" i="7" a="1"/>
  <c r="H18" i="7" s="1"/>
  <c r="N53" i="9"/>
  <c r="L53" i="9" s="1"/>
  <c r="GF19" i="71"/>
  <c r="IB4" i="71"/>
  <c r="E984" i="15"/>
  <c r="H74" i="9"/>
  <c r="HD7" i="71"/>
  <c r="IT32" i="71"/>
  <c r="E514" i="15"/>
  <c r="J843" i="15"/>
  <c r="FZ36" i="71"/>
  <c r="FK16" i="71"/>
  <c r="J502" i="15"/>
  <c r="J817" i="15"/>
  <c r="GC8" i="71"/>
  <c r="J649" i="15"/>
  <c r="FZ32" i="71"/>
  <c r="IW21" i="71"/>
  <c r="E814" i="15"/>
  <c r="J652" i="15"/>
  <c r="J860" i="15"/>
  <c r="K20" i="9"/>
  <c r="HM21" i="71"/>
  <c r="E897" i="15"/>
  <c r="E803" i="15"/>
  <c r="HA10" i="71"/>
  <c r="E913" i="15"/>
  <c r="A95" i="72"/>
  <c r="M36" i="9"/>
  <c r="IE17" i="71"/>
  <c r="HJ6" i="71"/>
  <c r="J838" i="15"/>
  <c r="GR31" i="71"/>
  <c r="GC26" i="71"/>
  <c r="JL11" i="71"/>
  <c r="E665" i="15"/>
  <c r="H77" i="9"/>
  <c r="FZ12" i="71"/>
  <c r="J710" i="15"/>
  <c r="JL35" i="71"/>
  <c r="JF8" i="71"/>
  <c r="E474" i="15"/>
  <c r="J648" i="15"/>
  <c r="JF10" i="71"/>
  <c r="E422" i="15"/>
  <c r="Q96" i="69"/>
  <c r="H63" i="9"/>
  <c r="J842" i="15"/>
  <c r="J923" i="15"/>
  <c r="GL36" i="71"/>
  <c r="HP14" i="71"/>
  <c r="HS21" i="71"/>
  <c r="H19" i="7" a="1"/>
  <c r="H19" i="7" s="1"/>
  <c r="JL26" i="71"/>
  <c r="HJ29" i="71"/>
  <c r="E795" i="15"/>
  <c r="J808" i="15"/>
  <c r="E912" i="15"/>
  <c r="J992" i="15"/>
  <c r="GU15" i="71"/>
  <c r="HS24" i="71"/>
  <c r="E734" i="15"/>
  <c r="E656" i="15"/>
  <c r="IW31" i="71"/>
  <c r="J475" i="15"/>
  <c r="N28" i="9"/>
  <c r="L28" i="9" s="1"/>
  <c r="W10" i="22"/>
  <c r="Y10" i="22" s="1"/>
  <c r="FH28" i="71"/>
  <c r="GC14" i="71"/>
  <c r="E956" i="15"/>
  <c r="J972" i="15"/>
  <c r="EJ26" i="71"/>
  <c r="E927" i="15"/>
  <c r="J892" i="15"/>
  <c r="JI8" i="71"/>
  <c r="E855" i="15"/>
  <c r="FQ31" i="71"/>
  <c r="E747" i="15"/>
  <c r="J814" i="15"/>
  <c r="J521" i="15"/>
  <c r="FW35" i="71"/>
  <c r="E682" i="15"/>
  <c r="K44" i="9"/>
  <c r="HS10" i="71"/>
  <c r="J595" i="15"/>
  <c r="N594" i="15" s="1" a="1"/>
  <c r="N594" i="15" s="1"/>
  <c r="N95" i="9"/>
  <c r="L95" i="9" s="1"/>
  <c r="JC11" i="71"/>
  <c r="FK17" i="71"/>
  <c r="J745" i="15"/>
  <c r="FZ24" i="71"/>
  <c r="JI21" i="71"/>
  <c r="J698" i="15"/>
  <c r="J680" i="15"/>
  <c r="J767" i="15"/>
  <c r="HD32" i="71"/>
  <c r="E851" i="15"/>
  <c r="JX34" i="71"/>
  <c r="M6" i="9"/>
  <c r="FH6" i="71"/>
  <c r="FQ20" i="71"/>
  <c r="J797" i="15"/>
  <c r="M57" i="9"/>
  <c r="FW11" i="71"/>
  <c r="J757" i="15"/>
  <c r="K96" i="9"/>
  <c r="JX12" i="71"/>
  <c r="J991" i="15"/>
  <c r="I4" i="15" a="1"/>
  <c r="I4" i="15" s="1"/>
  <c r="IT36" i="71"/>
  <c r="E967" i="15"/>
  <c r="J670" i="15"/>
  <c r="E785" i="15"/>
  <c r="K49" i="9"/>
  <c r="E767" i="15"/>
  <c r="IE11" i="71"/>
  <c r="E798" i="15"/>
  <c r="JR31" i="71"/>
  <c r="J712" i="15"/>
  <c r="GR6" i="71"/>
  <c r="E797" i="15"/>
  <c r="E828" i="15"/>
  <c r="E690" i="15"/>
  <c r="J905" i="15"/>
  <c r="HP33" i="71"/>
  <c r="J782" i="15"/>
  <c r="GL21" i="71"/>
  <c r="IW8" i="71"/>
  <c r="HD6" i="71"/>
  <c r="M37" i="9"/>
  <c r="FN5" i="71"/>
  <c r="N70" i="9"/>
  <c r="L70" i="9" s="1"/>
  <c r="HG25" i="71"/>
  <c r="J794" i="15"/>
  <c r="M60" i="9"/>
  <c r="J703" i="15"/>
  <c r="JC23" i="71"/>
  <c r="HA33" i="71"/>
  <c r="GR26" i="71"/>
  <c r="GF22" i="71"/>
  <c r="J890" i="15"/>
  <c r="IK15" i="71"/>
  <c r="GU28" i="71"/>
  <c r="J704" i="15"/>
  <c r="IZ28" i="71"/>
  <c r="GF14" i="71"/>
  <c r="IB14" i="71"/>
  <c r="K17" i="9"/>
  <c r="E675" i="15"/>
  <c r="E974" i="15"/>
  <c r="N91" i="9"/>
  <c r="L91" i="9" s="1"/>
  <c r="JO29" i="71"/>
  <c r="IW28" i="71"/>
  <c r="K93" i="9"/>
  <c r="J936" i="15"/>
  <c r="EJ23" i="71"/>
  <c r="E892" i="15"/>
  <c r="N64" i="9"/>
  <c r="L64" i="9" s="1"/>
  <c r="GL25" i="71"/>
  <c r="H88" i="9"/>
  <c r="H98" i="9"/>
  <c r="J993" i="15"/>
  <c r="HV21" i="71"/>
  <c r="E788" i="15"/>
  <c r="E670" i="15"/>
  <c r="IB32" i="71"/>
  <c r="JX7" i="71"/>
  <c r="HJ32" i="71"/>
  <c r="JC33" i="71"/>
  <c r="J776" i="15"/>
  <c r="EJ34" i="71"/>
  <c r="FZ4" i="71"/>
  <c r="N11" i="9"/>
  <c r="L11" i="9" s="1"/>
  <c r="JL13" i="71"/>
  <c r="J660" i="15"/>
  <c r="IT17" i="71"/>
  <c r="AV1490" i="13"/>
  <c r="N41" i="9"/>
  <c r="L41" i="9" s="1"/>
  <c r="M78" i="9"/>
  <c r="FN25" i="71"/>
  <c r="K85" i="9"/>
  <c r="L96" i="69"/>
  <c r="JU8" i="71"/>
  <c r="J949" i="15"/>
  <c r="FN7" i="71"/>
  <c r="GJ38" i="71"/>
  <c r="V53" i="22"/>
  <c r="FK24" i="71"/>
  <c r="K50" i="9"/>
  <c r="IT20" i="71"/>
  <c r="IK21" i="71"/>
  <c r="GC13" i="71"/>
  <c r="E717" i="15"/>
  <c r="GU16" i="71"/>
  <c r="GO28" i="71"/>
  <c r="E899" i="15"/>
  <c r="FZ28" i="71"/>
  <c r="J677" i="15"/>
  <c r="FK19" i="71"/>
  <c r="JO8" i="71"/>
  <c r="E671" i="15"/>
  <c r="HS36" i="71"/>
  <c r="FH11" i="71"/>
  <c r="HD19" i="71"/>
  <c r="M24" i="9"/>
  <c r="N52" i="9"/>
  <c r="L52" i="9" s="1"/>
  <c r="J693" i="15"/>
  <c r="IE27" i="71"/>
  <c r="GC18" i="71"/>
  <c r="E692" i="15"/>
  <c r="J479" i="15"/>
  <c r="JF7" i="71"/>
  <c r="N20" i="9"/>
  <c r="L20" i="9" s="1"/>
  <c r="M49" i="9"/>
  <c r="J929" i="15"/>
  <c r="GI34" i="71"/>
  <c r="GI20" i="71"/>
  <c r="Q95" i="69"/>
  <c r="E721" i="15"/>
  <c r="IX38" i="71"/>
  <c r="JU17" i="71"/>
  <c r="K12" i="9"/>
  <c r="E720" i="15"/>
  <c r="JI31" i="71"/>
  <c r="I14" i="15" a="1"/>
  <c r="I14" i="15" s="1"/>
  <c r="HA23" i="71"/>
  <c r="FN36" i="71"/>
  <c r="GX6" i="71"/>
  <c r="HS19" i="71"/>
  <c r="HG33" i="71"/>
  <c r="FT21" i="71"/>
  <c r="GX4" i="71"/>
  <c r="N7" i="9"/>
  <c r="L7" i="9" s="1"/>
  <c r="FL38" i="71"/>
  <c r="E648" i="15"/>
  <c r="IT22" i="71"/>
  <c r="HJ5" i="71"/>
  <c r="HG7" i="71"/>
  <c r="GO20" i="71"/>
  <c r="EJ21" i="71"/>
  <c r="IH17" i="71"/>
  <c r="J655" i="15"/>
  <c r="IN4" i="71"/>
  <c r="HP17" i="71"/>
  <c r="J723" i="15"/>
  <c r="JF9" i="71"/>
  <c r="I15" i="15" a="1"/>
  <c r="I15" i="15" s="1"/>
  <c r="HM18" i="71"/>
  <c r="FW4" i="71"/>
  <c r="IQ7" i="71"/>
  <c r="N23" i="9"/>
  <c r="L23" i="9" s="1"/>
  <c r="JR30" i="71"/>
  <c r="HY9" i="71"/>
  <c r="HG20" i="71"/>
  <c r="FW31" i="71"/>
  <c r="J752" i="15"/>
  <c r="HP31" i="71"/>
  <c r="HY23" i="71"/>
  <c r="J705" i="15"/>
  <c r="J672" i="15"/>
  <c r="HG22" i="71"/>
  <c r="JR29" i="71"/>
  <c r="E838" i="15"/>
  <c r="HM28" i="71"/>
  <c r="E999" i="15"/>
  <c r="J963" i="15"/>
  <c r="HA13" i="71"/>
  <c r="JL32" i="71"/>
  <c r="IQ9" i="71"/>
  <c r="E989" i="15"/>
  <c r="GI24" i="71"/>
  <c r="E942" i="15"/>
  <c r="J812" i="15"/>
  <c r="IK6" i="71"/>
  <c r="JF11" i="71"/>
  <c r="J676" i="15"/>
  <c r="JX20" i="71"/>
  <c r="GR11" i="71"/>
  <c r="J815" i="15"/>
  <c r="E925" i="15"/>
  <c r="IQ18" i="71"/>
  <c r="FT35" i="71"/>
  <c r="GL11" i="71"/>
  <c r="IZ15" i="71"/>
  <c r="M63" i="9"/>
  <c r="J736" i="15"/>
  <c r="GF23" i="71"/>
  <c r="IB22" i="71"/>
  <c r="FH25" i="71"/>
  <c r="E873" i="15"/>
  <c r="E712" i="15"/>
  <c r="JI27" i="71"/>
  <c r="E844" i="15"/>
  <c r="J796" i="15"/>
  <c r="GX14" i="71"/>
  <c r="IH15" i="71"/>
  <c r="FQ6" i="71"/>
  <c r="N40" i="9"/>
  <c r="L40" i="9" s="1"/>
  <c r="HV17" i="71"/>
  <c r="JC4" i="71"/>
  <c r="W67" i="22"/>
  <c r="Y67" i="22" s="1"/>
  <c r="IW13" i="71"/>
  <c r="N58" i="9"/>
  <c r="L58" i="9" s="1"/>
  <c r="HM31" i="71"/>
  <c r="JR21" i="71"/>
  <c r="FT9" i="71"/>
  <c r="J807" i="15"/>
  <c r="M93" i="9"/>
  <c r="H91" i="9"/>
  <c r="H72" i="9"/>
  <c r="P94" i="72"/>
  <c r="J505" i="15"/>
  <c r="K25" i="9"/>
  <c r="E840" i="15"/>
  <c r="N61" i="9"/>
  <c r="L61" i="9" s="1"/>
  <c r="E960" i="15"/>
  <c r="E859" i="15"/>
  <c r="K16" i="9"/>
  <c r="IN19" i="71"/>
  <c r="E700" i="15"/>
  <c r="E300" i="15"/>
  <c r="J947" i="15"/>
  <c r="M64" i="9"/>
  <c r="N94" i="69" a="1"/>
  <c r="N94" i="69" s="1"/>
  <c r="Y96" i="69"/>
  <c r="JC16" i="71"/>
  <c r="GU34" i="71"/>
  <c r="J878" i="15"/>
  <c r="IQ30" i="71"/>
  <c r="IT10" i="71"/>
  <c r="IN26" i="71"/>
  <c r="J811" i="15"/>
  <c r="GX26" i="71"/>
  <c r="IW24" i="71"/>
  <c r="E672" i="15"/>
  <c r="K60" i="9"/>
  <c r="FN8" i="71"/>
  <c r="E970" i="15"/>
  <c r="E810" i="15"/>
  <c r="J756" i="15"/>
  <c r="IQ12" i="71"/>
  <c r="IZ9" i="71"/>
  <c r="JR15" i="71"/>
  <c r="J637" i="15"/>
  <c r="N629" i="15" s="1" a="1"/>
  <c r="N629" i="15" s="1"/>
  <c r="E402" i="15"/>
  <c r="K28" i="9"/>
  <c r="K51" i="9"/>
  <c r="N48" i="9"/>
  <c r="L48" i="9" s="1"/>
  <c r="J954" i="15"/>
  <c r="HY5" i="71"/>
  <c r="M46" i="9"/>
  <c r="E668" i="15"/>
  <c r="J667" i="15"/>
  <c r="HG9" i="71"/>
  <c r="J762" i="15"/>
  <c r="E688" i="15"/>
  <c r="IH22" i="71"/>
  <c r="E715" i="15"/>
  <c r="IZ18" i="71"/>
  <c r="HJ7" i="71"/>
  <c r="HD35" i="71"/>
  <c r="J978" i="15"/>
  <c r="EJ12" i="71"/>
  <c r="E89" i="15"/>
  <c r="J543" i="15"/>
  <c r="IB24" i="71"/>
  <c r="IH4" i="71"/>
  <c r="W33" i="22"/>
  <c r="Y33" i="22" s="1"/>
  <c r="FT10" i="71"/>
  <c r="GI29" i="71"/>
  <c r="E543" i="15"/>
  <c r="FK20" i="71"/>
  <c r="K74" i="9"/>
  <c r="JL10" i="71"/>
  <c r="E831" i="15"/>
  <c r="J918" i="15"/>
  <c r="IT30" i="71"/>
  <c r="HS5" i="71"/>
  <c r="IE20" i="71"/>
  <c r="FZ5" i="71"/>
  <c r="HJ17" i="71"/>
  <c r="JF30" i="71"/>
  <c r="J826" i="15"/>
  <c r="J944" i="15"/>
  <c r="HA11" i="71"/>
  <c r="HV24" i="71"/>
  <c r="IB34" i="71"/>
  <c r="JR11" i="71"/>
  <c r="HY13" i="71"/>
  <c r="E294" i="15"/>
  <c r="JI33" i="71"/>
  <c r="HP23" i="71"/>
  <c r="E778" i="15"/>
  <c r="IT13" i="71"/>
  <c r="IQ25" i="71"/>
  <c r="E763" i="15"/>
  <c r="IK13" i="71"/>
  <c r="IT6" i="71"/>
  <c r="N57" i="9"/>
  <c r="L57" i="9" s="1"/>
  <c r="IZ29" i="71"/>
  <c r="J862" i="15"/>
  <c r="E986" i="15"/>
  <c r="IH26" i="71"/>
  <c r="GU4" i="71"/>
  <c r="E742" i="15"/>
  <c r="J876" i="15"/>
  <c r="J883" i="15"/>
  <c r="IT5" i="71"/>
  <c r="J735" i="15"/>
  <c r="JF32" i="71"/>
  <c r="IH14" i="71"/>
  <c r="JF4" i="71"/>
  <c r="E894" i="15"/>
  <c r="HM32" i="71"/>
  <c r="W9" i="22"/>
  <c r="Y9" i="22" s="1"/>
  <c r="FT8" i="71"/>
  <c r="N5" i="9"/>
  <c r="L5" i="9" s="1"/>
  <c r="IE12" i="71"/>
  <c r="HM15" i="71"/>
  <c r="FK18" i="71"/>
  <c r="GR36" i="71"/>
  <c r="E968" i="15"/>
  <c r="HM33" i="71"/>
  <c r="M66" i="9"/>
  <c r="IW22" i="71"/>
  <c r="FT29" i="71"/>
  <c r="E951" i="15"/>
  <c r="E889" i="15"/>
  <c r="EJ22" i="71"/>
  <c r="E839" i="15"/>
  <c r="IE32" i="71"/>
  <c r="E760" i="15"/>
  <c r="N63" i="9"/>
  <c r="L63" i="9" s="1"/>
  <c r="GL4" i="71"/>
  <c r="JO30" i="71"/>
  <c r="HP29" i="71"/>
  <c r="I11" i="15" a="1"/>
  <c r="I11" i="15" s="1"/>
  <c r="IT15" i="71"/>
  <c r="K14" i="9"/>
  <c r="JC5" i="71"/>
  <c r="HJ22" i="71"/>
  <c r="IW26" i="71"/>
  <c r="M67" i="9"/>
  <c r="FW5" i="71"/>
  <c r="W12" i="22"/>
  <c r="Y12" i="22" s="1"/>
  <c r="IT19" i="71"/>
  <c r="E253" i="15"/>
  <c r="GX7" i="71"/>
  <c r="IB33" i="71"/>
  <c r="IK32" i="71"/>
  <c r="E681" i="15"/>
  <c r="IE15" i="71"/>
  <c r="E975" i="15"/>
  <c r="JL12" i="71"/>
  <c r="J511" i="15"/>
  <c r="JI25" i="71"/>
  <c r="JR10" i="71"/>
  <c r="EJ16" i="71"/>
  <c r="IE22" i="71"/>
  <c r="GI8" i="71"/>
  <c r="JI12" i="71"/>
  <c r="GO33" i="71"/>
  <c r="JX19" i="71"/>
  <c r="IK22" i="71"/>
  <c r="J875" i="15"/>
  <c r="IC38" i="71"/>
  <c r="HV20" i="71"/>
  <c r="J500" i="15"/>
  <c r="IK27" i="71"/>
  <c r="E809" i="15"/>
  <c r="E834" i="15"/>
  <c r="J694" i="15"/>
  <c r="FW33" i="71"/>
  <c r="IH35" i="71"/>
  <c r="FN32" i="71"/>
  <c r="GX8" i="71"/>
  <c r="IE30" i="71"/>
  <c r="HP26" i="71"/>
  <c r="W65" i="22"/>
  <c r="Y65" i="22" s="1"/>
  <c r="E750" i="15"/>
  <c r="HP30" i="71"/>
  <c r="HJ18" i="71"/>
  <c r="HD21" i="71"/>
  <c r="J891" i="15"/>
  <c r="FW8" i="71"/>
  <c r="J718" i="15"/>
  <c r="J592" i="15"/>
  <c r="J751" i="15"/>
  <c r="JC32" i="71"/>
  <c r="J482" i="15"/>
  <c r="IT11" i="71"/>
  <c r="J550" i="15"/>
  <c r="JF15" i="71"/>
  <c r="HJ9" i="71"/>
  <c r="J661" i="15"/>
  <c r="J844" i="15"/>
  <c r="JI30" i="71"/>
  <c r="F5" i="15"/>
  <c r="J724" i="15"/>
  <c r="J523" i="15"/>
  <c r="JX6" i="71"/>
  <c r="GR19" i="71"/>
  <c r="J873" i="15"/>
  <c r="HA27" i="71"/>
  <c r="IK35" i="71"/>
  <c r="HP7" i="71"/>
  <c r="J766" i="15"/>
  <c r="IK16" i="71"/>
  <c r="J686" i="15"/>
  <c r="FW13" i="71"/>
  <c r="HJ25" i="71"/>
  <c r="V12" i="22"/>
  <c r="K19" i="9"/>
  <c r="FK35" i="71"/>
  <c r="HM4" i="71"/>
  <c r="E958" i="15"/>
  <c r="IQ10" i="71"/>
  <c r="HD8" i="71"/>
  <c r="FN33" i="71"/>
  <c r="N81" i="9"/>
  <c r="L81" i="9" s="1"/>
  <c r="HG8" i="71"/>
  <c r="FK32" i="71"/>
  <c r="GX32" i="71"/>
  <c r="J943" i="15"/>
  <c r="HJ21" i="71"/>
  <c r="E836" i="15"/>
  <c r="JX22" i="71"/>
  <c r="JU30" i="71"/>
  <c r="IH30" i="71"/>
  <c r="K65" i="9"/>
  <c r="FT7" i="71"/>
  <c r="GC10" i="71"/>
  <c r="IB10" i="71"/>
  <c r="FQ9" i="71"/>
  <c r="J850" i="15"/>
  <c r="JI29" i="71"/>
  <c r="IK19" i="71"/>
  <c r="J946" i="15"/>
  <c r="HM12" i="71"/>
  <c r="JC26" i="71"/>
  <c r="J786" i="15"/>
  <c r="IQ19" i="71"/>
  <c r="J832" i="15"/>
  <c r="GI32" i="71"/>
  <c r="J557" i="15"/>
  <c r="GI27" i="71"/>
  <c r="JR13" i="71"/>
  <c r="E976" i="15"/>
  <c r="HJ33" i="71"/>
  <c r="IH13" i="71"/>
  <c r="E415" i="15"/>
  <c r="N83" i="9"/>
  <c r="L83" i="9" s="1"/>
  <c r="J816" i="15"/>
  <c r="E865" i="15"/>
  <c r="GC22" i="71"/>
  <c r="N13" i="9"/>
  <c r="L13" i="9" s="1"/>
  <c r="FW25" i="71"/>
  <c r="FN22" i="71"/>
  <c r="GL18" i="71"/>
  <c r="GD38" i="71"/>
  <c r="E749" i="15"/>
  <c r="FQ25" i="71"/>
  <c r="J493" i="15"/>
  <c r="HP4" i="71"/>
  <c r="F15" i="15"/>
  <c r="JL9" i="71"/>
  <c r="I5" i="15" a="1"/>
  <c r="I5" i="15" s="1"/>
  <c r="IT4" i="71"/>
  <c r="IW14" i="71"/>
  <c r="HD15" i="71"/>
  <c r="K31" i="9"/>
  <c r="E953" i="15"/>
  <c r="IH24" i="71"/>
  <c r="IZ21" i="71"/>
  <c r="E910" i="15"/>
  <c r="E933" i="15"/>
  <c r="N69" i="9"/>
  <c r="L69" i="9" s="1"/>
  <c r="FT6" i="71"/>
  <c r="J708" i="15"/>
  <c r="W46" i="22"/>
  <c r="Y46" i="22" s="1"/>
  <c r="FK14" i="71"/>
  <c r="JC14" i="71"/>
  <c r="HV25" i="71"/>
  <c r="J848" i="15"/>
  <c r="J967" i="15"/>
  <c r="AW94" i="69"/>
  <c r="J870" i="15"/>
  <c r="J734" i="15"/>
  <c r="J845" i="15"/>
  <c r="Z1497" i="13"/>
  <c r="I1702" i="13" s="1"/>
  <c r="J962" i="15"/>
  <c r="GU11" i="71"/>
  <c r="IH29" i="71"/>
  <c r="J920" i="15"/>
  <c r="E666" i="15"/>
  <c r="FH7" i="71"/>
  <c r="J990" i="15"/>
  <c r="J857" i="15"/>
  <c r="K64" i="9"/>
  <c r="J744" i="15"/>
  <c r="H24" i="7" a="1"/>
  <c r="H24" i="7" s="1"/>
  <c r="IH31" i="71"/>
  <c r="IK12" i="71"/>
  <c r="GL14" i="71"/>
  <c r="F11" i="15"/>
  <c r="JO27" i="71"/>
  <c r="FW23" i="71"/>
  <c r="E713" i="15"/>
  <c r="J981" i="15"/>
  <c r="FK26" i="71"/>
  <c r="JF20" i="71"/>
  <c r="AV1491" i="13"/>
  <c r="E776" i="15"/>
  <c r="M91" i="9"/>
  <c r="GI17" i="71"/>
  <c r="E898" i="15"/>
  <c r="P96" i="72"/>
  <c r="J656" i="15"/>
  <c r="JF33" i="71"/>
  <c r="FK8" i="71"/>
  <c r="E998" i="15"/>
  <c r="GO9" i="71"/>
  <c r="E722" i="15"/>
  <c r="GX15" i="71"/>
  <c r="E790" i="15"/>
  <c r="HA30" i="71"/>
  <c r="E664" i="15"/>
  <c r="E823" i="15"/>
  <c r="FZ14" i="71"/>
  <c r="IR38" i="71"/>
  <c r="JO10" i="71"/>
  <c r="JU26" i="71"/>
  <c r="IB12" i="71"/>
  <c r="GF29" i="71"/>
  <c r="IQ27" i="71"/>
  <c r="GC30" i="71"/>
  <c r="HD14" i="71"/>
  <c r="H95" i="9"/>
  <c r="IT28" i="71"/>
  <c r="IQ17" i="71"/>
  <c r="EJ35" i="71"/>
  <c r="E599" i="15"/>
  <c r="JF28" i="71"/>
  <c r="J96" i="72"/>
  <c r="J802" i="15"/>
  <c r="HS32" i="71"/>
  <c r="HV22" i="71"/>
  <c r="GI4" i="71"/>
  <c r="IZ31" i="71"/>
  <c r="HM25" i="71"/>
  <c r="H85" i="9"/>
  <c r="FN27" i="71"/>
  <c r="GO7" i="71"/>
  <c r="J874" i="15"/>
  <c r="E867" i="15"/>
  <c r="E935" i="15"/>
  <c r="J793" i="15"/>
  <c r="FT34" i="71"/>
  <c r="K26" i="9"/>
  <c r="JU4" i="71"/>
  <c r="GR33" i="71"/>
  <c r="J683" i="15"/>
  <c r="FH10" i="71"/>
  <c r="IQ32" i="71"/>
  <c r="N94" i="9"/>
  <c r="L94" i="9" s="1"/>
  <c r="GU29" i="71"/>
  <c r="J902" i="15"/>
  <c r="E959" i="15"/>
  <c r="IN29" i="71"/>
  <c r="E926" i="15"/>
  <c r="IH32" i="71"/>
  <c r="J506" i="15"/>
  <c r="JI6" i="71"/>
  <c r="FT36" i="71"/>
  <c r="JU33" i="71"/>
  <c r="J975" i="15"/>
  <c r="JV38" i="71"/>
  <c r="M74" i="9"/>
  <c r="K56" i="9"/>
  <c r="J964" i="15"/>
  <c r="IK20" i="71"/>
  <c r="JR28" i="71"/>
  <c r="E886" i="15"/>
  <c r="HA24" i="71"/>
  <c r="HG10" i="71"/>
  <c r="FQ33" i="71"/>
  <c r="JU23" i="71"/>
  <c r="J872" i="15"/>
  <c r="J998" i="15"/>
  <c r="J861" i="15"/>
  <c r="GI6" i="71"/>
  <c r="N14" i="9"/>
  <c r="L14" i="9" s="1"/>
  <c r="GO15" i="71"/>
  <c r="GO30" i="71"/>
  <c r="FW21" i="71"/>
  <c r="N25" i="9"/>
  <c r="L25" i="9" s="1"/>
  <c r="IK9" i="71"/>
  <c r="IL38" i="71"/>
  <c r="E493" i="15"/>
  <c r="J501" i="15"/>
  <c r="GF31" i="71"/>
  <c r="GF5" i="71"/>
  <c r="J610" i="15"/>
  <c r="F14" i="15"/>
  <c r="J747" i="15"/>
  <c r="KB38" i="71"/>
  <c r="J742" i="15"/>
  <c r="GU7" i="71"/>
  <c r="IZ14" i="71"/>
  <c r="E954" i="15"/>
  <c r="JR16" i="71"/>
  <c r="JU34" i="71"/>
  <c r="JX8" i="71"/>
  <c r="J976" i="15"/>
  <c r="J942" i="15"/>
  <c r="K40" i="9"/>
  <c r="E727" i="15"/>
  <c r="N95" i="69" a="1"/>
  <c r="N95" i="69" s="1"/>
  <c r="J909" i="15"/>
  <c r="JX11" i="71"/>
  <c r="JF27" i="71"/>
  <c r="FT22" i="71"/>
  <c r="J889" i="15"/>
  <c r="W77" i="22"/>
  <c r="Y77" i="22" s="1"/>
  <c r="HM34" i="71"/>
  <c r="HY26" i="71"/>
  <c r="K22" i="9"/>
  <c r="FH35" i="71"/>
  <c r="JC22" i="71"/>
  <c r="JU19" i="71"/>
  <c r="J884" i="15"/>
  <c r="J820" i="15"/>
  <c r="JS38" i="71"/>
  <c r="M58" i="9"/>
  <c r="E685" i="15"/>
  <c r="JR18" i="71"/>
  <c r="IK24" i="71"/>
  <c r="GR7" i="71"/>
  <c r="J722" i="15"/>
  <c r="FQ19" i="71"/>
  <c r="FW10" i="71"/>
  <c r="E233" i="15"/>
  <c r="IT14" i="71"/>
  <c r="E161" i="15"/>
  <c r="GX17" i="71"/>
  <c r="JC35" i="71"/>
  <c r="JF5" i="71"/>
  <c r="JX14" i="71"/>
  <c r="JI15" i="71"/>
  <c r="E730" i="15"/>
  <c r="HG29" i="71"/>
  <c r="HG26" i="71"/>
  <c r="IZ34" i="71"/>
  <c r="HM9" i="71"/>
  <c r="FT24" i="71"/>
  <c r="FN21" i="71"/>
  <c r="GV38" i="71"/>
  <c r="J696" i="15"/>
  <c r="IN7" i="71"/>
  <c r="N71" i="9"/>
  <c r="L71" i="9" s="1"/>
  <c r="HV7" i="71"/>
  <c r="FN26" i="71"/>
  <c r="E911" i="15"/>
  <c r="HM10" i="71"/>
  <c r="JX18" i="71"/>
  <c r="K13" i="9"/>
  <c r="FQ13" i="71"/>
  <c r="E963" i="15"/>
  <c r="M53" i="9"/>
  <c r="GF25" i="71"/>
  <c r="J474" i="15"/>
  <c r="E800" i="15"/>
  <c r="E757" i="15"/>
  <c r="HY10" i="71"/>
  <c r="HJ27" i="71"/>
  <c r="E971" i="15"/>
  <c r="FE26" i="71"/>
  <c r="FN24" i="71"/>
  <c r="JF13" i="71"/>
  <c r="IH21" i="71"/>
  <c r="GI12" i="71"/>
  <c r="E973" i="15"/>
  <c r="E921" i="15"/>
  <c r="FN14" i="71"/>
  <c r="E945" i="15"/>
  <c r="K80" i="9"/>
  <c r="GC19" i="71"/>
  <c r="JU20" i="71"/>
  <c r="FT27" i="71"/>
  <c r="IW4" i="71"/>
  <c r="HP6" i="71"/>
  <c r="FN10" i="71"/>
  <c r="J938" i="15"/>
  <c r="E853" i="15"/>
  <c r="JR36" i="71"/>
  <c r="GR23" i="71"/>
  <c r="GC34" i="71"/>
  <c r="JI19" i="71"/>
  <c r="E808" i="15"/>
  <c r="JX30" i="71"/>
  <c r="JO36" i="71"/>
  <c r="GO4" i="71"/>
  <c r="EJ10" i="71"/>
  <c r="IN30" i="71"/>
  <c r="HD30" i="71"/>
  <c r="IE29" i="71"/>
  <c r="E706" i="15"/>
  <c r="FH26" i="71"/>
  <c r="IE5" i="71"/>
  <c r="IB27" i="71"/>
  <c r="E770" i="15"/>
  <c r="FW22" i="71"/>
  <c r="HV6" i="71"/>
  <c r="H64" i="9"/>
  <c r="H78" i="9"/>
  <c r="JI35" i="71"/>
  <c r="E687" i="15"/>
  <c r="EJ7" i="71"/>
  <c r="IB5" i="71"/>
  <c r="HG34" i="71"/>
  <c r="Q94" i="72"/>
  <c r="E821" i="15"/>
  <c r="H23" i="7" a="1"/>
  <c r="H23" i="7" s="1"/>
  <c r="GC27" i="71"/>
  <c r="JC30" i="71"/>
  <c r="EJ17" i="71"/>
  <c r="GI28" i="71"/>
  <c r="FZ13" i="71"/>
  <c r="H93" i="9"/>
  <c r="W89" i="22"/>
  <c r="Y89" i="22" s="1"/>
  <c r="J877" i="15"/>
  <c r="E314" i="15"/>
  <c r="GI36" i="71"/>
  <c r="JX15" i="71"/>
  <c r="HB38" i="71"/>
  <c r="E59" i="15"/>
  <c r="E919" i="15"/>
  <c r="GI15" i="71"/>
  <c r="GL13" i="71"/>
  <c r="E739" i="15"/>
  <c r="IT31" i="71"/>
  <c r="GL5" i="71"/>
  <c r="HV10" i="71"/>
  <c r="GR28" i="71"/>
  <c r="FN34" i="71"/>
  <c r="HY7" i="71"/>
  <c r="J784" i="15"/>
  <c r="J970" i="15"/>
  <c r="FZ16" i="71"/>
  <c r="IT9" i="71"/>
  <c r="IH5" i="71"/>
  <c r="GX19" i="71"/>
  <c r="E741" i="15"/>
  <c r="J726" i="15"/>
  <c r="IN28" i="71"/>
  <c r="E697" i="15"/>
  <c r="HV36" i="71"/>
  <c r="IH18" i="71"/>
  <c r="J758" i="15"/>
  <c r="E816" i="15"/>
  <c r="E818" i="15"/>
  <c r="E756" i="15"/>
  <c r="JC6" i="71"/>
  <c r="HY6" i="71"/>
  <c r="J741" i="15"/>
  <c r="JX5" i="71"/>
  <c r="N27" i="9"/>
  <c r="L27" i="9" s="1"/>
  <c r="IW32" i="71"/>
  <c r="J886" i="15"/>
  <c r="J560" i="15"/>
  <c r="IE24" i="71"/>
  <c r="GL26" i="71"/>
  <c r="E895" i="15"/>
  <c r="M59" i="9"/>
  <c r="P59" i="9" s="1"/>
  <c r="IN22" i="71"/>
  <c r="E683" i="15"/>
  <c r="HA35" i="71"/>
  <c r="HM35" i="71"/>
  <c r="FT28" i="71"/>
  <c r="J852" i="15"/>
  <c r="HD29" i="71"/>
  <c r="JU28" i="71"/>
  <c r="K37" i="9"/>
  <c r="FI38" i="71"/>
  <c r="E61" i="15"/>
  <c r="K39" i="9"/>
  <c r="IW15" i="71"/>
  <c r="J695" i="15"/>
  <c r="GU21" i="71"/>
  <c r="FE24" i="71"/>
  <c r="IN27" i="71"/>
  <c r="FN19" i="71"/>
  <c r="FW34" i="71"/>
  <c r="FK13" i="71"/>
  <c r="JX35" i="71"/>
  <c r="HA36" i="71"/>
  <c r="JI23" i="71"/>
  <c r="J671" i="15"/>
  <c r="IQ29" i="71"/>
  <c r="V46" i="22"/>
  <c r="HG6" i="71"/>
  <c r="K5" i="9"/>
  <c r="FH31" i="71"/>
  <c r="J681" i="15"/>
  <c r="GX27" i="71"/>
  <c r="HD31" i="71"/>
  <c r="E724" i="15"/>
  <c r="HJ24" i="71"/>
  <c r="J997" i="15"/>
  <c r="GO16" i="71"/>
  <c r="GU10" i="71"/>
  <c r="GO13" i="71"/>
  <c r="IW16" i="71"/>
  <c r="K89" i="9"/>
  <c r="GF26" i="71"/>
  <c r="N39" i="9"/>
  <c r="L39" i="9" s="1"/>
  <c r="IE18" i="71"/>
  <c r="E273" i="15"/>
  <c r="GF13" i="71"/>
  <c r="J719" i="15"/>
  <c r="E431" i="15"/>
  <c r="J955" i="15"/>
  <c r="GX5" i="71"/>
  <c r="HG13" i="71"/>
  <c r="HV19" i="71"/>
  <c r="K82" i="9"/>
  <c r="N12" i="9"/>
  <c r="L12" i="9" s="1"/>
  <c r="AB94" i="72" a="1"/>
  <c r="AB94" i="72" s="1"/>
  <c r="E890" i="15"/>
  <c r="IZ26" i="71"/>
  <c r="IE19" i="71"/>
  <c r="GI19" i="71"/>
  <c r="HJ19" i="71"/>
  <c r="E871" i="15"/>
  <c r="FT30" i="71"/>
  <c r="FT12" i="71"/>
  <c r="FZ6" i="71"/>
  <c r="E876" i="15"/>
  <c r="E978" i="15"/>
  <c r="E820" i="15"/>
  <c r="J831" i="15"/>
  <c r="JG38" i="71"/>
  <c r="HM5" i="71"/>
  <c r="GR5" i="71"/>
  <c r="J657" i="15"/>
  <c r="E550" i="15"/>
  <c r="HM6" i="71"/>
  <c r="E977" i="15"/>
  <c r="FE9" i="71"/>
  <c r="IZ12" i="71"/>
  <c r="J759" i="15"/>
  <c r="GI30" i="71"/>
  <c r="GC4" i="71"/>
  <c r="EJ9" i="71"/>
  <c r="JC27" i="71"/>
  <c r="J699" i="15"/>
  <c r="J880" i="15"/>
  <c r="JU15" i="71"/>
  <c r="K77" i="9"/>
  <c r="J725" i="15"/>
  <c r="IH27" i="71"/>
  <c r="FE20" i="71"/>
  <c r="IN16" i="71"/>
  <c r="I8" i="15" a="1"/>
  <c r="I8" i="15" s="1"/>
  <c r="FQ34" i="71"/>
  <c r="FZ23" i="71"/>
  <c r="A96" i="72"/>
  <c r="M77" i="9"/>
  <c r="JU35" i="71"/>
  <c r="K29" i="9"/>
  <c r="J987" i="15"/>
  <c r="JI32" i="71"/>
  <c r="J885" i="15"/>
  <c r="HV15" i="71"/>
  <c r="GO35" i="71"/>
  <c r="E225" i="15"/>
  <c r="E743" i="15"/>
  <c r="J853" i="15"/>
  <c r="JC24" i="71"/>
  <c r="JU11" i="71"/>
  <c r="GI26" i="71"/>
  <c r="JR19" i="71"/>
  <c r="IH16" i="71"/>
  <c r="Z1501" i="13"/>
  <c r="GF16" i="71"/>
  <c r="FT19" i="71"/>
  <c r="M31" i="9"/>
  <c r="E482" i="15"/>
  <c r="J948" i="15"/>
  <c r="FZ7" i="71"/>
  <c r="E709" i="15"/>
  <c r="FZ10" i="71"/>
  <c r="GX10" i="71"/>
  <c r="E674" i="15"/>
  <c r="HS14" i="71"/>
  <c r="GX16" i="71"/>
  <c r="JC31" i="71"/>
  <c r="JO6" i="71"/>
  <c r="IZ11" i="71"/>
  <c r="FQ11" i="71"/>
  <c r="FK29" i="71"/>
  <c r="FE30" i="71"/>
  <c r="GR12" i="71"/>
  <c r="HJ31" i="71"/>
  <c r="IT26" i="71"/>
  <c r="M8" i="9"/>
  <c r="JF18" i="71"/>
  <c r="JC18" i="71"/>
  <c r="GU22" i="71"/>
  <c r="J879" i="15"/>
  <c r="E755" i="15"/>
  <c r="GL24" i="71"/>
  <c r="JC7" i="71"/>
  <c r="IH7" i="71"/>
  <c r="GO8" i="71"/>
  <c r="E801" i="15"/>
  <c r="GU26" i="71"/>
  <c r="J931" i="15"/>
  <c r="W35" i="22"/>
  <c r="Y35" i="22" s="1"/>
  <c r="JO34" i="71"/>
  <c r="GO31" i="71"/>
  <c r="M86" i="9"/>
  <c r="HS9" i="71"/>
  <c r="J801" i="15"/>
  <c r="GL32" i="71"/>
  <c r="FE4" i="71"/>
  <c r="HV29" i="71"/>
  <c r="HS34" i="71"/>
  <c r="M20" i="9"/>
  <c r="FH23" i="71"/>
  <c r="J836" i="15"/>
  <c r="E877" i="15"/>
  <c r="E752" i="15"/>
  <c r="J940" i="15"/>
  <c r="IT16" i="71"/>
  <c r="FN29" i="71"/>
  <c r="FK30" i="71"/>
  <c r="JF35" i="71"/>
  <c r="E787" i="15"/>
  <c r="M19" i="9"/>
  <c r="E684" i="15"/>
  <c r="GF35" i="71"/>
  <c r="H12" i="7" a="1"/>
  <c r="H12" i="7" s="1"/>
  <c r="E869" i="15"/>
  <c r="FE13" i="71"/>
  <c r="E657" i="15"/>
  <c r="IH25" i="71"/>
  <c r="GL23" i="71"/>
  <c r="IT34" i="71"/>
  <c r="I10" i="15" a="1"/>
  <c r="I10" i="15" s="1"/>
  <c r="HK38" i="71"/>
  <c r="HY19" i="71"/>
  <c r="JR35" i="71"/>
  <c r="E698" i="15"/>
  <c r="J869" i="15"/>
  <c r="W53" i="22"/>
  <c r="Y53" i="22" s="1"/>
  <c r="FZ8" i="71"/>
  <c r="E786" i="15"/>
  <c r="J518" i="15"/>
  <c r="N509" i="15" s="1" a="1"/>
  <c r="N509" i="15" s="1"/>
  <c r="E858" i="15"/>
  <c r="E983" i="15"/>
  <c r="HA16" i="71"/>
  <c r="K54" i="9"/>
  <c r="P54" i="9" s="1"/>
  <c r="HP13" i="71"/>
  <c r="N51" i="9"/>
  <c r="L51" i="9" s="1"/>
  <c r="HJ16" i="71"/>
  <c r="J552" i="15"/>
  <c r="Y96" i="72"/>
  <c r="JO13" i="71"/>
  <c r="FH13" i="71"/>
  <c r="HY17" i="71"/>
  <c r="W95" i="72"/>
  <c r="IW18" i="71"/>
  <c r="GF18" i="71"/>
  <c r="J893" i="15"/>
  <c r="N82" i="9"/>
  <c r="L82" i="9" s="1"/>
  <c r="IT12" i="71"/>
  <c r="J912" i="15"/>
  <c r="FN31" i="71"/>
  <c r="J855" i="15"/>
  <c r="IE16" i="71"/>
  <c r="JL33" i="71"/>
  <c r="HJ28" i="71"/>
  <c r="N37" i="9"/>
  <c r="L37" i="9" s="1"/>
  <c r="E746" i="15"/>
  <c r="FW19" i="71"/>
  <c r="Z1500" i="13"/>
  <c r="GC11" i="71"/>
  <c r="FF38" i="71"/>
  <c r="HM27" i="71"/>
  <c r="GU12" i="71"/>
  <c r="IB18" i="71"/>
  <c r="GI13" i="71"/>
  <c r="IW19" i="71"/>
  <c r="JI28" i="71"/>
  <c r="E829" i="15"/>
  <c r="IT8" i="71"/>
  <c r="W44" i="22"/>
  <c r="Y44" i="22" s="1"/>
  <c r="FW15" i="71"/>
  <c r="J675" i="15"/>
  <c r="HY27" i="71"/>
  <c r="J810" i="15"/>
  <c r="J986" i="15"/>
  <c r="J907" i="15"/>
  <c r="E952" i="15"/>
  <c r="HV33" i="71"/>
  <c r="E487" i="15"/>
  <c r="F486" i="15" s="1" a="1"/>
  <c r="F486" i="15" s="1"/>
  <c r="HD18" i="71"/>
  <c r="N56" i="9"/>
  <c r="L56" i="9" s="1"/>
  <c r="E661" i="15"/>
  <c r="IZ6" i="71"/>
  <c r="FK11" i="71"/>
  <c r="GO5" i="71"/>
  <c r="HM11" i="71"/>
  <c r="FQ28" i="71"/>
  <c r="V35" i="22"/>
  <c r="HM29" i="71"/>
  <c r="K58" i="9"/>
  <c r="J903" i="15"/>
  <c r="FH21" i="71"/>
  <c r="E811" i="15"/>
  <c r="H96" i="9"/>
  <c r="GL29" i="71"/>
  <c r="N44" i="9"/>
  <c r="L44" i="9" s="1"/>
  <c r="FT15" i="71"/>
  <c r="HG21" i="71"/>
  <c r="IE10" i="71"/>
  <c r="N73" i="9"/>
  <c r="L73" i="9" s="1"/>
  <c r="GI16" i="71"/>
  <c r="K71" i="9"/>
  <c r="FN15" i="71"/>
  <c r="GC5" i="71"/>
  <c r="HG24" i="71"/>
  <c r="E378" i="15"/>
  <c r="E114" i="15"/>
  <c r="HS20" i="71"/>
  <c r="M25" i="9"/>
  <c r="IZ10" i="71"/>
  <c r="HV11" i="71"/>
  <c r="HD16" i="71"/>
  <c r="EK38" i="71"/>
  <c r="GI33" i="71"/>
  <c r="E996" i="15"/>
  <c r="E937" i="15"/>
  <c r="JI4" i="71"/>
  <c r="HS28" i="71"/>
  <c r="M45" i="9"/>
  <c r="K53" i="9"/>
  <c r="E221" i="15"/>
  <c r="HD27" i="71"/>
  <c r="N68" i="9"/>
  <c r="L68" i="9" s="1"/>
  <c r="IE4" i="71"/>
  <c r="FX38" i="71"/>
  <c r="JI10" i="71"/>
  <c r="M76" i="9"/>
  <c r="HG19" i="71"/>
  <c r="IN8" i="71"/>
  <c r="K68" i="9"/>
  <c r="HD20" i="71"/>
  <c r="J806" i="15"/>
  <c r="GI25" i="71"/>
  <c r="JU25" i="71"/>
  <c r="JF23" i="71"/>
  <c r="GU19" i="71"/>
  <c r="GO26" i="71"/>
  <c r="IN34" i="71"/>
  <c r="J781" i="15"/>
  <c r="IH12" i="71"/>
  <c r="GG38" i="71"/>
  <c r="M87" i="9"/>
  <c r="J971" i="15"/>
  <c r="GO23" i="71"/>
  <c r="FE7" i="71"/>
  <c r="HP28" i="71"/>
  <c r="E753" i="15"/>
  <c r="IN23" i="71"/>
  <c r="IW17" i="71"/>
  <c r="IE13" i="71"/>
  <c r="JC20" i="71"/>
  <c r="HM22" i="71"/>
  <c r="FH17" i="71"/>
  <c r="J481" i="15"/>
  <c r="E893" i="15"/>
  <c r="N16" i="9"/>
  <c r="L16" i="9" s="1"/>
  <c r="E995" i="15"/>
  <c r="E676" i="15"/>
  <c r="E759" i="15"/>
  <c r="FH5" i="71"/>
  <c r="N18" i="9"/>
  <c r="L18" i="9" s="1"/>
  <c r="K30" i="9"/>
  <c r="K34" i="9"/>
  <c r="GR29" i="71"/>
  <c r="FK15" i="71"/>
  <c r="J854" i="15"/>
  <c r="FW24" i="71"/>
  <c r="M18" i="9"/>
  <c r="HP16" i="71"/>
  <c r="HM26" i="71"/>
  <c r="IQ21" i="71"/>
  <c r="E244" i="15"/>
  <c r="J662" i="15"/>
  <c r="IQ15" i="71"/>
  <c r="FE22" i="71"/>
  <c r="IQ36" i="71"/>
  <c r="EJ33" i="71"/>
  <c r="H73" i="9"/>
  <c r="M84" i="9"/>
  <c r="GX34" i="71"/>
  <c r="FK22" i="71"/>
  <c r="N89" i="9"/>
  <c r="L89" i="9" s="1"/>
  <c r="E943" i="15"/>
  <c r="J777" i="15"/>
  <c r="HP18" i="71"/>
  <c r="E985" i="15"/>
  <c r="AX94" i="69"/>
  <c r="AE94" i="69" s="1" a="1"/>
  <c r="AE94" i="69" s="1"/>
  <c r="E500" i="15"/>
  <c r="J927" i="15"/>
  <c r="HP24" i="71"/>
  <c r="J701" i="15"/>
  <c r="E900" i="15"/>
  <c r="K18" i="9"/>
  <c r="IN24" i="71"/>
  <c r="N79" i="9"/>
  <c r="L79" i="9" s="1"/>
  <c r="HA28" i="71"/>
  <c r="GL9" i="71"/>
  <c r="JX31" i="71"/>
  <c r="J769" i="15"/>
  <c r="L94" i="72"/>
  <c r="IQ6" i="71"/>
  <c r="JX17" i="71"/>
  <c r="JU21" i="71"/>
  <c r="J785" i="15"/>
  <c r="M33" i="9"/>
  <c r="E966" i="15"/>
  <c r="E791" i="15"/>
  <c r="JI34" i="71"/>
  <c r="E948" i="15"/>
  <c r="N26" i="9"/>
  <c r="L26" i="9" s="1"/>
  <c r="J989" i="15"/>
  <c r="IQ33" i="71"/>
  <c r="FH14" i="71"/>
  <c r="IB19" i="71"/>
  <c r="V62" i="22"/>
  <c r="HS35" i="71"/>
  <c r="N96" i="69" a="1"/>
  <c r="N96" i="69" s="1"/>
  <c r="M81" i="9"/>
  <c r="JU10" i="71"/>
  <c r="FZ9" i="71"/>
  <c r="M85" i="9"/>
  <c r="HV28" i="71"/>
  <c r="FW27" i="71"/>
  <c r="E914" i="15"/>
  <c r="V33" i="22"/>
  <c r="M27" i="9"/>
  <c r="JI7" i="71"/>
  <c r="FQ29" i="71"/>
  <c r="FQ4" i="71"/>
  <c r="HD11" i="71"/>
  <c r="HA26" i="71"/>
  <c r="FW18" i="71"/>
  <c r="N24" i="9"/>
  <c r="L24" i="9" s="1"/>
  <c r="IN35" i="71"/>
  <c r="IW10" i="71"/>
  <c r="M50" i="9"/>
  <c r="L96" i="72"/>
  <c r="IK4" i="71"/>
  <c r="W32" i="22"/>
  <c r="Y32" i="22" s="1"/>
  <c r="M5" i="9"/>
  <c r="FN12" i="71"/>
  <c r="N86" i="9"/>
  <c r="L86" i="9" s="1"/>
  <c r="H75" i="9"/>
  <c r="AX95" i="69"/>
  <c r="K15" i="9"/>
  <c r="IZ25" i="71"/>
  <c r="IZ8" i="71"/>
  <c r="E463" i="15"/>
  <c r="J682" i="15"/>
  <c r="IQ28" i="71"/>
  <c r="JC8" i="71"/>
  <c r="JC25" i="71"/>
  <c r="EJ30" i="71"/>
  <c r="HJ23" i="71"/>
  <c r="IZ13" i="71"/>
  <c r="J654" i="15"/>
  <c r="JL25" i="71"/>
  <c r="GI14" i="71"/>
  <c r="FH29" i="71"/>
  <c r="E738" i="15"/>
  <c r="J666" i="15"/>
  <c r="J900" i="15"/>
  <c r="GF4" i="71"/>
  <c r="J778" i="15"/>
  <c r="JO19" i="71"/>
  <c r="E653" i="15"/>
  <c r="J919" i="15"/>
  <c r="FQ32" i="71"/>
  <c r="J788" i="15"/>
  <c r="JJ38" i="71"/>
  <c r="GA38" i="71"/>
  <c r="E837" i="15"/>
  <c r="EJ28" i="71"/>
  <c r="E163" i="15"/>
  <c r="K61" i="9"/>
  <c r="EJ32" i="71"/>
  <c r="E827" i="15"/>
  <c r="HD28" i="71"/>
  <c r="E903" i="15"/>
  <c r="JL23" i="71"/>
  <c r="J663" i="15"/>
  <c r="FN11" i="71"/>
  <c r="FT11" i="71"/>
  <c r="E766" i="15"/>
  <c r="JL4" i="71"/>
  <c r="GX12" i="71"/>
  <c r="E190" i="15"/>
  <c r="K11" i="9"/>
  <c r="E783" i="15"/>
  <c r="M15" i="9"/>
  <c r="K95" i="9"/>
  <c r="P95" i="9" s="1"/>
  <c r="N75" i="9"/>
  <c r="L75" i="9" s="1"/>
  <c r="J789" i="15"/>
  <c r="J770" i="15"/>
  <c r="E784" i="15"/>
  <c r="HS23" i="71"/>
  <c r="JF12" i="71"/>
  <c r="FK21" i="71"/>
  <c r="IH36" i="71"/>
  <c r="FQ10" i="71"/>
  <c r="J668" i="15"/>
  <c r="FH34" i="71"/>
  <c r="GI23" i="71"/>
  <c r="HY30" i="71"/>
  <c r="JU31" i="71"/>
  <c r="J707" i="15"/>
  <c r="J979" i="15"/>
  <c r="E815" i="15"/>
  <c r="M17" i="9"/>
  <c r="J910" i="15"/>
  <c r="K48" i="9"/>
  <c r="J713" i="15"/>
  <c r="HY35" i="71"/>
  <c r="EJ25" i="71"/>
  <c r="HY12" i="71"/>
  <c r="HJ26" i="71"/>
  <c r="E736" i="15"/>
  <c r="FQ15" i="71"/>
  <c r="E679" i="15"/>
  <c r="HG32" i="71"/>
  <c r="JO16" i="71"/>
  <c r="V76" i="22"/>
  <c r="K63" i="9"/>
  <c r="J863" i="15"/>
  <c r="E729" i="15"/>
  <c r="JU29" i="71"/>
  <c r="E965" i="15"/>
  <c r="M97" i="9"/>
  <c r="J897" i="15"/>
  <c r="HD24" i="71"/>
  <c r="GL35" i="71"/>
  <c r="JR22" i="71"/>
  <c r="E705" i="15"/>
  <c r="M56" i="9"/>
  <c r="JO31" i="71"/>
  <c r="GR10" i="71"/>
  <c r="M92" i="9"/>
  <c r="N98" i="9"/>
  <c r="L98" i="9" s="1"/>
  <c r="GX29" i="71"/>
  <c r="HY28" i="71"/>
  <c r="J800" i="15"/>
  <c r="E799" i="15"/>
  <c r="JO21" i="71"/>
  <c r="HA9" i="71"/>
  <c r="J983" i="15"/>
  <c r="HP8" i="71"/>
  <c r="JO26" i="71"/>
  <c r="E906" i="15"/>
  <c r="M7" i="9"/>
  <c r="J813" i="15"/>
  <c r="GO12" i="71"/>
  <c r="GC25" i="71"/>
  <c r="K38" i="9"/>
  <c r="FZ19" i="71"/>
  <c r="GX21" i="71"/>
  <c r="E723" i="15"/>
  <c r="HP36" i="71"/>
  <c r="FW14" i="71"/>
  <c r="FZ35" i="71"/>
  <c r="IZ27" i="71"/>
  <c r="J995" i="15"/>
  <c r="E113" i="15"/>
  <c r="M13" i="9"/>
  <c r="JR6" i="71"/>
  <c r="V58" i="22"/>
  <c r="JO24" i="71"/>
  <c r="E97" i="15"/>
  <c r="H89" i="9"/>
  <c r="HV27" i="71"/>
  <c r="IB31" i="71"/>
  <c r="E411" i="15"/>
  <c r="FT32" i="71"/>
  <c r="K46" i="9"/>
  <c r="FN4" i="71"/>
  <c r="V32" i="22"/>
  <c r="J917" i="15"/>
  <c r="J966" i="15"/>
  <c r="HS17" i="71"/>
  <c r="M12" i="9"/>
  <c r="I13" i="15" a="1"/>
  <c r="I13" i="15" s="1"/>
  <c r="E857" i="15"/>
  <c r="E891" i="15"/>
  <c r="J783" i="15"/>
  <c r="W96" i="72"/>
  <c r="J689" i="15"/>
  <c r="K6" i="9"/>
  <c r="JR23" i="71"/>
  <c r="E922" i="15"/>
  <c r="EJ24" i="71"/>
  <c r="JO35" i="71"/>
  <c r="IQ26" i="71"/>
  <c r="GU25" i="71"/>
  <c r="J490" i="15"/>
  <c r="J674" i="15"/>
  <c r="H97" i="9"/>
  <c r="J780" i="15"/>
  <c r="GC29" i="71"/>
  <c r="GF11" i="71"/>
  <c r="HA22" i="71"/>
  <c r="M68" i="9"/>
  <c r="E769" i="15"/>
  <c r="IB26" i="71"/>
  <c r="F9" i="15"/>
  <c r="JL16" i="71"/>
  <c r="AS94" i="72"/>
  <c r="JR25" i="71"/>
  <c r="FE11" i="71"/>
  <c r="JC29" i="71"/>
  <c r="IN10" i="71"/>
  <c r="V65" i="22"/>
  <c r="N55" i="9"/>
  <c r="L55" i="9" s="1"/>
  <c r="K47" i="9"/>
  <c r="HA15" i="71"/>
  <c r="IQ34" i="71"/>
  <c r="IZ24" i="71"/>
  <c r="JX9" i="71"/>
  <c r="HJ13" i="71"/>
  <c r="JI22" i="71"/>
  <c r="Q95" i="72"/>
  <c r="JU16" i="71"/>
  <c r="HS12" i="71"/>
  <c r="J837" i="15"/>
  <c r="FN20" i="71"/>
  <c r="FK31" i="71"/>
  <c r="E708" i="15"/>
  <c r="E761" i="15"/>
  <c r="M80" i="9"/>
  <c r="FN13" i="71"/>
  <c r="IZ32" i="71"/>
  <c r="FQ8" i="71"/>
  <c r="HD34" i="71"/>
  <c r="HV35" i="71"/>
  <c r="HP20" i="71"/>
  <c r="H83" i="9"/>
  <c r="IN12" i="71"/>
  <c r="IN11" i="71"/>
  <c r="JO32" i="71"/>
  <c r="GU20" i="71"/>
  <c r="HM7" i="71"/>
  <c r="E982" i="15"/>
  <c r="IN6" i="71"/>
  <c r="F7" i="15"/>
  <c r="HP35" i="71"/>
  <c r="IE31" i="71"/>
  <c r="J775" i="15"/>
  <c r="FQ12" i="71"/>
  <c r="IN14" i="71"/>
  <c r="J865" i="15"/>
  <c r="HA7" i="71"/>
  <c r="HD22" i="71"/>
  <c r="E758" i="15"/>
  <c r="JL28" i="71"/>
  <c r="JL27" i="71"/>
  <c r="N46" i="9"/>
  <c r="L46" i="9" s="1"/>
  <c r="JR24" i="71"/>
  <c r="JX32" i="71"/>
  <c r="N78" i="9"/>
  <c r="L78" i="9" s="1"/>
  <c r="HD5" i="71"/>
  <c r="E659" i="15"/>
  <c r="JU36" i="71"/>
  <c r="E849" i="15"/>
  <c r="FH8" i="71"/>
  <c r="E751" i="15"/>
  <c r="J906" i="15"/>
  <c r="HY24" i="71"/>
  <c r="M52" i="9"/>
  <c r="JC21" i="71"/>
  <c r="E883" i="15"/>
  <c r="E173" i="15"/>
  <c r="FT31" i="71"/>
  <c r="HY16" i="71"/>
  <c r="N10" i="9"/>
  <c r="L10" i="9" s="1"/>
  <c r="E667" i="15"/>
  <c r="M75" i="9"/>
  <c r="FE34" i="71"/>
  <c r="IZ20" i="71"/>
  <c r="J924" i="15"/>
  <c r="V31" i="22"/>
  <c r="JO33" i="71"/>
  <c r="IF38" i="71"/>
  <c r="K55" i="9"/>
  <c r="JR4" i="71"/>
  <c r="JU12" i="71"/>
  <c r="IT23" i="71"/>
  <c r="IE35" i="71"/>
  <c r="E992" i="15"/>
  <c r="IK33" i="71"/>
  <c r="JI16" i="71"/>
  <c r="IH11" i="71"/>
  <c r="EJ13" i="71"/>
  <c r="E699" i="15"/>
  <c r="M70" i="9"/>
  <c r="M73" i="9"/>
  <c r="J688" i="15"/>
  <c r="GC24" i="71"/>
  <c r="E711" i="15"/>
  <c r="HP15" i="71"/>
  <c r="N77" i="9"/>
  <c r="L77" i="9" s="1"/>
  <c r="N34" i="9"/>
  <c r="L34" i="9" s="1"/>
  <c r="E737" i="15"/>
  <c r="JX10" i="71"/>
  <c r="FW26" i="71"/>
  <c r="JX23" i="71"/>
  <c r="J913" i="15"/>
  <c r="FQ18" i="71"/>
  <c r="JI20" i="71"/>
  <c r="J935" i="15"/>
  <c r="F12" i="15"/>
  <c r="HA19" i="71"/>
  <c r="FW28" i="71"/>
  <c r="F3" i="15"/>
  <c r="IW30" i="71"/>
  <c r="F8" i="15"/>
  <c r="E701" i="15"/>
  <c r="GC31" i="71"/>
  <c r="E990" i="15"/>
  <c r="GX25" i="71"/>
  <c r="E673" i="15"/>
  <c r="E693" i="15"/>
  <c r="HD26" i="71"/>
  <c r="E292" i="15"/>
  <c r="E774" i="15"/>
  <c r="HS22" i="71"/>
  <c r="M47" i="9"/>
  <c r="IT24" i="71"/>
  <c r="FT23" i="71"/>
  <c r="V44" i="22"/>
  <c r="JU24" i="71"/>
  <c r="FW6" i="71"/>
  <c r="HP22" i="71"/>
  <c r="J487" i="15"/>
  <c r="E944" i="15"/>
  <c r="IZ30" i="71"/>
  <c r="HY8" i="71"/>
  <c r="K9" i="9"/>
  <c r="P9" i="9" s="1"/>
  <c r="E773" i="15"/>
  <c r="N8" i="9"/>
  <c r="L8" i="9" s="1"/>
  <c r="AC95" i="69"/>
  <c r="IB29" i="71"/>
  <c r="FH18" i="71"/>
  <c r="M83" i="9"/>
  <c r="E694" i="15"/>
  <c r="HD12" i="71"/>
  <c r="IQ16" i="71"/>
  <c r="J755" i="15"/>
  <c r="GC36" i="71"/>
  <c r="HG4" i="71"/>
  <c r="JL24" i="71"/>
  <c r="HD25" i="71"/>
  <c r="FE33" i="71"/>
  <c r="J717" i="15"/>
  <c r="E771" i="15"/>
  <c r="J847" i="15"/>
  <c r="FE27" i="71"/>
  <c r="E470" i="15"/>
  <c r="HP5" i="71"/>
  <c r="J932" i="15"/>
  <c r="J555" i="15"/>
  <c r="HY21" i="71"/>
  <c r="J956" i="15"/>
  <c r="J760" i="15"/>
  <c r="GU31" i="71"/>
  <c r="GF30" i="71"/>
  <c r="M16" i="9"/>
  <c r="AS96" i="72"/>
  <c r="IT21" i="71"/>
  <c r="JR20" i="71"/>
  <c r="FZ25" i="71"/>
  <c r="JD38" i="71"/>
  <c r="FW17" i="71"/>
  <c r="EJ11" i="71"/>
  <c r="N19" i="9"/>
  <c r="L19" i="9" s="1"/>
  <c r="IT27" i="71"/>
  <c r="M48" i="9"/>
  <c r="E852" i="15"/>
  <c r="GR18" i="71"/>
  <c r="M79" i="9"/>
  <c r="EJ36" i="71"/>
  <c r="N38" i="9"/>
  <c r="L38" i="9" s="1"/>
  <c r="E830" i="15"/>
  <c r="HA18" i="71"/>
  <c r="FW30" i="71"/>
  <c r="GC6" i="71"/>
  <c r="K52" i="9"/>
  <c r="FZ20" i="71"/>
  <c r="N80" i="9"/>
  <c r="L80" i="9" s="1"/>
  <c r="E130" i="15"/>
  <c r="IK29" i="71"/>
  <c r="JP38" i="71"/>
  <c r="M65" i="9"/>
  <c r="JI36" i="71"/>
  <c r="E941" i="15"/>
  <c r="II38" i="71"/>
  <c r="HS16" i="71"/>
  <c r="FZ21" i="71"/>
  <c r="J746" i="15"/>
  <c r="IK14" i="71"/>
  <c r="HV23" i="71"/>
  <c r="FE32" i="71"/>
  <c r="J779" i="15"/>
  <c r="HJ11" i="71"/>
  <c r="GO6" i="71"/>
  <c r="E850" i="15"/>
  <c r="GX31" i="71"/>
  <c r="AX230" i="13"/>
  <c r="A330" i="13"/>
  <c r="AX330" i="13" s="1"/>
  <c r="AX219" i="13"/>
  <c r="A319" i="13"/>
  <c r="AX319" i="13" s="1"/>
  <c r="BT47" i="4"/>
  <c r="BT79" i="4"/>
  <c r="J899" i="15"/>
  <c r="J792" i="15"/>
  <c r="N84" i="9"/>
  <c r="L84" i="9" s="1"/>
  <c r="M71" i="9"/>
  <c r="J834" i="15"/>
  <c r="HA8" i="71"/>
  <c r="J774" i="15"/>
  <c r="FZ33" i="71"/>
  <c r="JF34" i="71"/>
  <c r="CW41" i="4"/>
  <c r="CX41" i="4" s="1"/>
  <c r="A1337" i="13"/>
  <c r="AX1238" i="13"/>
  <c r="A1368" i="13"/>
  <c r="AX1269" i="13"/>
  <c r="A371" i="13"/>
  <c r="AX371" i="13" s="1"/>
  <c r="AX271" i="13"/>
  <c r="AS90" i="4"/>
  <c r="AV692" i="13" s="1"/>
  <c r="F4" i="72"/>
  <c r="F4" i="69"/>
  <c r="J546" i="15"/>
  <c r="HP21" i="71"/>
  <c r="E94" i="15"/>
  <c r="FK7" i="71"/>
  <c r="IE21" i="71"/>
  <c r="A94" i="69"/>
  <c r="W91" i="22"/>
  <c r="Y91" i="22" s="1"/>
  <c r="H86" i="9"/>
  <c r="DB84" i="4"/>
  <c r="AX84" i="4"/>
  <c r="CY84" i="4"/>
  <c r="CZ84" i="4" s="1"/>
  <c r="CU84" i="4"/>
  <c r="CV84" i="4" s="1"/>
  <c r="DA84" i="4" a="1"/>
  <c r="DA84" i="4" s="1"/>
  <c r="CW84" i="4"/>
  <c r="CX84" i="4" s="1"/>
  <c r="BH4" i="4"/>
  <c r="AV506" i="13"/>
  <c r="DV4" i="4"/>
  <c r="BL4" i="4"/>
  <c r="J738" i="15"/>
  <c r="J799" i="15"/>
  <c r="V67" i="22"/>
  <c r="A95" i="69"/>
  <c r="E824" i="15"/>
  <c r="J934" i="15"/>
  <c r="FK28" i="71"/>
  <c r="HM23" i="71"/>
  <c r="DE15" i="4"/>
  <c r="BZ60" i="4" a="1"/>
  <c r="BZ60" i="4" s="1"/>
  <c r="BX60" i="4" s="1" a="1"/>
  <c r="BX60" i="4" s="1"/>
  <c r="BY60" i="4" a="1"/>
  <c r="BY60" i="4" s="1"/>
  <c r="A1375" i="13"/>
  <c r="AX1276" i="13"/>
  <c r="M39" i="9"/>
  <c r="GO22" i="71"/>
  <c r="GI21" i="71"/>
  <c r="GL17" i="71"/>
  <c r="BB95" i="72"/>
  <c r="E444" i="15"/>
  <c r="JX16" i="71"/>
  <c r="IK8" i="71"/>
  <c r="GO14" i="71"/>
  <c r="H59" i="9"/>
  <c r="CW91" i="4"/>
  <c r="CX91" i="4" s="1"/>
  <c r="AG22" i="27"/>
  <c r="A1331" i="13"/>
  <c r="AX1232" i="13"/>
  <c r="AX1215" i="13"/>
  <c r="A1314" i="13"/>
  <c r="BN9" i="72" a="1"/>
  <c r="BN9" i="72" s="1"/>
  <c r="AV9" i="72" a="1"/>
  <c r="AV9" i="72" s="1"/>
  <c r="AW9" i="72" a="1"/>
  <c r="AW9" i="72" s="1"/>
  <c r="AL9" i="72" a="1"/>
  <c r="AL9" i="72" s="1"/>
  <c r="AU9" i="72" a="1"/>
  <c r="AU9" i="72" s="1"/>
  <c r="BA9" i="72" a="1"/>
  <c r="BA9" i="72" s="1"/>
  <c r="AQ9" i="72" a="1"/>
  <c r="AQ9" i="72" s="1"/>
  <c r="AF9" i="72" a="1"/>
  <c r="AF9" i="72" s="1"/>
  <c r="AZ9" i="72" a="1"/>
  <c r="AZ9" i="72" s="1"/>
  <c r="AG9" i="72" a="1"/>
  <c r="AG9" i="72" s="1"/>
  <c r="AO9" i="72" a="1"/>
  <c r="AO9" i="72" s="1"/>
  <c r="AX9" i="72" a="1"/>
  <c r="AX9" i="72" s="1"/>
  <c r="CU83" i="4"/>
  <c r="CV83" i="4" s="1"/>
  <c r="AX83" i="4"/>
  <c r="DB83" i="4"/>
  <c r="A333" i="13"/>
  <c r="AX333" i="13" s="1"/>
  <c r="AX233" i="13"/>
  <c r="AX280" i="13"/>
  <c r="A380" i="13"/>
  <c r="AX380" i="13" s="1"/>
  <c r="AX69" i="4"/>
  <c r="CY69" i="4"/>
  <c r="CZ69" i="4" s="1"/>
  <c r="CU69" i="4"/>
  <c r="CV69" i="4" s="1"/>
  <c r="DB69" i="4"/>
  <c r="E4" i="69"/>
  <c r="A388" i="13"/>
  <c r="AX388" i="13" s="1"/>
  <c r="AX288" i="13"/>
  <c r="AX1222" i="13"/>
  <c r="A1321" i="13"/>
  <c r="AX275" i="13"/>
  <c r="A375" i="13"/>
  <c r="AX375" i="13" s="1"/>
  <c r="A381" i="13"/>
  <c r="AX381" i="13" s="1"/>
  <c r="AX281" i="13"/>
  <c r="BA10" i="69"/>
  <c r="AX251" i="13"/>
  <c r="A351" i="13"/>
  <c r="AX351" i="13" s="1"/>
  <c r="E362" i="15"/>
  <c r="E196" i="15"/>
  <c r="E194" i="15"/>
  <c r="L629" i="15" a="1"/>
  <c r="L629" i="15" s="1"/>
  <c r="K629" i="15" a="1"/>
  <c r="K629" i="15" s="1"/>
  <c r="L628" i="15" a="1"/>
  <c r="L628" i="15" s="1"/>
  <c r="M628" i="15" a="1"/>
  <c r="M628" i="15" s="1"/>
  <c r="K628" i="15" a="1"/>
  <c r="K628" i="15" s="1"/>
  <c r="N628" i="15" a="1"/>
  <c r="N628" i="15" s="1"/>
  <c r="E627" i="15"/>
  <c r="M625" i="15" s="1" a="1"/>
  <c r="M625" i="15" s="1"/>
  <c r="E468" i="15"/>
  <c r="E401" i="15"/>
  <c r="E336" i="15"/>
  <c r="E574" i="15"/>
  <c r="E454" i="15"/>
  <c r="E258" i="15"/>
  <c r="E157" i="15"/>
  <c r="BA23" i="4" a="1"/>
  <c r="BA23" i="4" s="1"/>
  <c r="BB23" i="4" s="1"/>
  <c r="AV125" i="13" s="1"/>
  <c r="B23" i="4"/>
  <c r="DE23" i="4" s="1"/>
  <c r="BV103" i="4"/>
  <c r="AI9" i="69" a="1"/>
  <c r="AI9" i="69" s="1"/>
  <c r="AH52" i="4"/>
  <c r="AV1348" i="13" s="1"/>
  <c r="Z85" i="4"/>
  <c r="AV1282" i="13" s="1"/>
  <c r="AL24" i="4"/>
  <c r="I24" i="69" s="1"/>
  <c r="AD47" i="4"/>
  <c r="F47" i="69" s="1"/>
  <c r="Z6" i="4"/>
  <c r="AV1203" i="13" s="1"/>
  <c r="AH45" i="4"/>
  <c r="AV1341" i="13" s="1"/>
  <c r="AD20" i="4"/>
  <c r="F20" i="69" s="1"/>
  <c r="AH50" i="4"/>
  <c r="Z27" i="4"/>
  <c r="AV1224" i="13" s="1"/>
  <c r="AH70" i="4"/>
  <c r="AV1366" i="13" s="1"/>
  <c r="AD22" i="4"/>
  <c r="F22" i="69" s="1"/>
  <c r="AL73" i="4"/>
  <c r="I73" i="69" s="1"/>
  <c r="Z91" i="4"/>
  <c r="AV1288" i="13" s="1"/>
  <c r="AD35" i="4"/>
  <c r="F35" i="72" s="1"/>
  <c r="AD28" i="4"/>
  <c r="F28" i="69" s="1"/>
  <c r="AD87" i="4"/>
  <c r="F87" i="72" s="1"/>
  <c r="AH36" i="4"/>
  <c r="AV1332" i="13" s="1"/>
  <c r="AL70" i="4"/>
  <c r="I70" i="69" s="1"/>
  <c r="AL50" i="4"/>
  <c r="I50" i="69" s="1"/>
  <c r="AD54" i="4"/>
  <c r="F54" i="69" s="1"/>
  <c r="AD46" i="4"/>
  <c r="F46" i="69" s="1"/>
  <c r="AD41" i="4"/>
  <c r="F41" i="72" s="1"/>
  <c r="AD45" i="4"/>
  <c r="F45" i="72" s="1"/>
  <c r="AD84" i="4"/>
  <c r="F84" i="72" s="1"/>
  <c r="X69" i="72"/>
  <c r="X69" i="69"/>
  <c r="X37" i="72"/>
  <c r="X37" i="69"/>
  <c r="X14" i="69"/>
  <c r="X14" i="72"/>
  <c r="X35" i="69"/>
  <c r="X35" i="72"/>
  <c r="X31" i="72"/>
  <c r="X31" i="69"/>
  <c r="X81" i="72"/>
  <c r="X81" i="69"/>
  <c r="X89" i="72"/>
  <c r="X89" i="69"/>
  <c r="DB89" i="4"/>
  <c r="CU89" i="4"/>
  <c r="CV89" i="4" s="1"/>
  <c r="AX89" i="4"/>
  <c r="AX290" i="13"/>
  <c r="A390" i="13"/>
  <c r="AX390" i="13" s="1"/>
  <c r="F208" i="15" a="1"/>
  <c r="F208" i="15" s="1"/>
  <c r="AX1247" i="13"/>
  <c r="A1346" i="13"/>
  <c r="DB71" i="4"/>
  <c r="CU71" i="4"/>
  <c r="CV71" i="4" s="1"/>
  <c r="AX71" i="4"/>
  <c r="DA71" i="4" a="1"/>
  <c r="DA71" i="4" s="1"/>
  <c r="CW71" i="4"/>
  <c r="CX71" i="4" s="1"/>
  <c r="E7" i="4"/>
  <c r="BT7" i="4" s="1"/>
  <c r="AV305" i="13"/>
  <c r="U3" i="72" a="1"/>
  <c r="U3" i="72" s="1"/>
  <c r="U3" i="69" a="1"/>
  <c r="U3" i="69" s="1"/>
  <c r="A1344" i="13"/>
  <c r="AX1245" i="13"/>
  <c r="AT4" i="69" a="1"/>
  <c r="AT4" i="69" s="1"/>
  <c r="DE26" i="4"/>
  <c r="A1302" i="13"/>
  <c r="AX1203" i="13"/>
  <c r="DE37" i="4"/>
  <c r="E295" i="15"/>
  <c r="E242" i="15"/>
  <c r="E632" i="15"/>
  <c r="K613" i="15" a="1"/>
  <c r="K613" i="15" s="1"/>
  <c r="N613" i="15" a="1"/>
  <c r="N613" i="15" s="1"/>
  <c r="E364" i="15"/>
  <c r="E443" i="15"/>
  <c r="C56" i="23"/>
  <c r="D56" i="23"/>
  <c r="C54" i="23"/>
  <c r="B56" i="23"/>
  <c r="E243" i="15"/>
  <c r="AX1235" i="13"/>
  <c r="A1334" i="13"/>
  <c r="AS77" i="4"/>
  <c r="AV679" i="13" s="1"/>
  <c r="AH12" i="4"/>
  <c r="AV1308" i="13" s="1"/>
  <c r="AD26" i="4"/>
  <c r="F26" i="69" s="1"/>
  <c r="AH73" i="4"/>
  <c r="AV1369" i="13" s="1"/>
  <c r="AD5" i="4"/>
  <c r="F5" i="72" s="1"/>
  <c r="Z66" i="4"/>
  <c r="AV1263" i="13" s="1"/>
  <c r="Z53" i="4"/>
  <c r="AV1250" i="13" s="1"/>
  <c r="Z35" i="4"/>
  <c r="AV1232" i="13" s="1"/>
  <c r="AD11" i="4"/>
  <c r="F11" i="69" s="1"/>
  <c r="AL13" i="4"/>
  <c r="I13" i="69" s="1"/>
  <c r="AH86" i="4"/>
  <c r="AV1382" i="13" s="1"/>
  <c r="Z84" i="4"/>
  <c r="AV1281" i="13" s="1"/>
  <c r="AL30" i="4"/>
  <c r="I30" i="69" s="1"/>
  <c r="AD50" i="4"/>
  <c r="F50" i="69" s="1"/>
  <c r="AD52" i="4"/>
  <c r="F52" i="69" s="1"/>
  <c r="AH7" i="4"/>
  <c r="AV1303" i="13" s="1"/>
  <c r="Z17" i="4"/>
  <c r="AV1214" i="13" s="1"/>
  <c r="AH46" i="4"/>
  <c r="AV1342" i="13" s="1"/>
  <c r="Z32" i="4"/>
  <c r="AV1229" i="13" s="1"/>
  <c r="AD37" i="4"/>
  <c r="F37" i="69" s="1"/>
  <c r="AL44" i="4"/>
  <c r="I44" i="69" s="1"/>
  <c r="AL77" i="4"/>
  <c r="I77" i="72" s="1"/>
  <c r="X21" i="69"/>
  <c r="X21" i="72"/>
  <c r="X43" i="72"/>
  <c r="X43" i="69"/>
  <c r="BF4" i="4"/>
  <c r="X93" i="72"/>
  <c r="X93" i="69"/>
  <c r="X73" i="72"/>
  <c r="X73" i="69"/>
  <c r="X15" i="72"/>
  <c r="X15" i="69"/>
  <c r="X18" i="69"/>
  <c r="X18" i="72"/>
  <c r="A331" i="13"/>
  <c r="AX331" i="13" s="1"/>
  <c r="AX231" i="13"/>
  <c r="A361" i="13"/>
  <c r="AX361" i="13" s="1"/>
  <c r="AX261" i="13"/>
  <c r="A1316" i="13"/>
  <c r="AX1217" i="13"/>
  <c r="AL79" i="4"/>
  <c r="I79" i="69" s="1"/>
  <c r="DB75" i="4"/>
  <c r="DA75" i="4" a="1"/>
  <c r="DA75" i="4" s="1"/>
  <c r="AX75" i="4"/>
  <c r="CU75" i="4"/>
  <c r="CV75" i="4" s="1"/>
  <c r="CW75" i="4"/>
  <c r="CX75" i="4" s="1"/>
  <c r="A1320" i="13"/>
  <c r="AX1221" i="13"/>
  <c r="N37" i="71"/>
  <c r="A1349" i="13"/>
  <c r="AX1250" i="13"/>
  <c r="AX228" i="13"/>
  <c r="A328" i="13"/>
  <c r="AX328" i="13" s="1"/>
  <c r="BA67" i="4" a="1"/>
  <c r="BA67" i="4" s="1"/>
  <c r="BB67" i="4" s="1"/>
  <c r="AV169" i="13" s="1"/>
  <c r="B67" i="4"/>
  <c r="AP67" i="4" s="1"/>
  <c r="AV369" i="13" s="1"/>
  <c r="AV469" i="13" s="1"/>
  <c r="AS95" i="4"/>
  <c r="AV697" i="13" s="1"/>
  <c r="BB91" i="4"/>
  <c r="AV193" i="13" s="1"/>
  <c r="CW35" i="4"/>
  <c r="CX35" i="4" s="1"/>
  <c r="E49" i="4"/>
  <c r="A1385" i="13"/>
  <c r="AX1286" i="13"/>
  <c r="AX61" i="4"/>
  <c r="DB61" i="4"/>
  <c r="CU61" i="4"/>
  <c r="CV61" i="4" s="1"/>
  <c r="CY61" i="4"/>
  <c r="CZ61" i="4" s="1"/>
  <c r="A1339" i="13"/>
  <c r="AX1240" i="13"/>
  <c r="BT3" i="4"/>
  <c r="E26" i="4"/>
  <c r="AD17" i="27" s="1"/>
  <c r="A354" i="13"/>
  <c r="AX354" i="13" s="1"/>
  <c r="AX254" i="13"/>
  <c r="E37" i="4"/>
  <c r="BT37" i="4" s="1"/>
  <c r="AS65" i="4"/>
  <c r="AV667" i="13" s="1"/>
  <c r="E568" i="15"/>
  <c r="E259" i="15"/>
  <c r="E127" i="15"/>
  <c r="E472" i="15"/>
  <c r="E635" i="15"/>
  <c r="P44" i="23"/>
  <c r="K623" i="15" a="1"/>
  <c r="K623" i="15" s="1"/>
  <c r="N623" i="15" a="1"/>
  <c r="N623" i="15" s="1"/>
  <c r="M623" i="15" a="1"/>
  <c r="M623" i="15" s="1"/>
  <c r="E449" i="15"/>
  <c r="E320" i="15"/>
  <c r="E346" i="15"/>
  <c r="A320" i="13"/>
  <c r="AX320" i="13" s="1"/>
  <c r="AX220" i="13"/>
  <c r="Z20" i="27"/>
  <c r="U20" i="27" a="1"/>
  <c r="Z51" i="4"/>
  <c r="AV1248" i="13" s="1"/>
  <c r="AD31" i="4"/>
  <c r="F31" i="69" s="1"/>
  <c r="AL64" i="4"/>
  <c r="I64" i="72" s="1"/>
  <c r="DB90" i="4"/>
  <c r="Z18" i="4"/>
  <c r="AV1215" i="13" s="1"/>
  <c r="AH44" i="4"/>
  <c r="AV1340" i="13" s="1"/>
  <c r="AL20" i="4"/>
  <c r="I20" i="72" s="1"/>
  <c r="AH41" i="4"/>
  <c r="AV1337" i="13" s="1"/>
  <c r="AH88" i="4"/>
  <c r="AV1384" i="13" s="1"/>
  <c r="Z79" i="4"/>
  <c r="AV1276" i="13" s="1"/>
  <c r="Z46" i="4"/>
  <c r="AV1243" i="13" s="1"/>
  <c r="Z73" i="4"/>
  <c r="AV1270" i="13" s="1"/>
  <c r="AL43" i="4"/>
  <c r="I43" i="69" s="1"/>
  <c r="AD73" i="4"/>
  <c r="F73" i="72" s="1"/>
  <c r="AD15" i="4"/>
  <c r="F15" i="72" s="1"/>
  <c r="AD79" i="4"/>
  <c r="F79" i="72" s="1"/>
  <c r="AH28" i="4"/>
  <c r="AV1324" i="13" s="1"/>
  <c r="AD39" i="4"/>
  <c r="F39" i="69" s="1"/>
  <c r="DB76" i="4"/>
  <c r="X6" i="69"/>
  <c r="X6" i="72"/>
  <c r="X57" i="72"/>
  <c r="X57" i="69"/>
  <c r="X65" i="72"/>
  <c r="X65" i="69"/>
  <c r="X47" i="69"/>
  <c r="X47" i="72"/>
  <c r="X87" i="72"/>
  <c r="X87" i="69"/>
  <c r="X40" i="69"/>
  <c r="X40" i="72"/>
  <c r="X8" i="72"/>
  <c r="X8" i="69"/>
  <c r="X84" i="69"/>
  <c r="X84" i="72"/>
  <c r="E24" i="4"/>
  <c r="BT24" i="4" s="1"/>
  <c r="AX218" i="13"/>
  <c r="A318" i="13"/>
  <c r="AX318" i="13" s="1"/>
  <c r="DE7" i="4"/>
  <c r="E147" i="15"/>
  <c r="E195" i="15"/>
  <c r="E142" i="15"/>
  <c r="E226" i="15"/>
  <c r="E112" i="15"/>
  <c r="E91" i="15"/>
  <c r="U4" i="69" a="1"/>
  <c r="U4" i="69" s="1"/>
  <c r="H67" i="9"/>
  <c r="DB65" i="4"/>
  <c r="CW65" i="4"/>
  <c r="CX65" i="4" s="1"/>
  <c r="AX65" i="4"/>
  <c r="CU65" i="4"/>
  <c r="CV65" i="4" s="1"/>
  <c r="CY65" i="4"/>
  <c r="CZ65" i="4" s="1"/>
  <c r="DA65" i="4" a="1"/>
  <c r="DA65" i="4" s="1"/>
  <c r="AX289" i="13"/>
  <c r="A389" i="13"/>
  <c r="AX389" i="13" s="1"/>
  <c r="AS67" i="4"/>
  <c r="AV669" i="13" s="1"/>
  <c r="AX67" i="4"/>
  <c r="CU67" i="4"/>
  <c r="CV67" i="4" s="1"/>
  <c r="DB67" i="4"/>
  <c r="B63" i="4"/>
  <c r="F63" i="4" s="1"/>
  <c r="BA63" i="4" a="1"/>
  <c r="BA63" i="4" s="1"/>
  <c r="BB63" i="4" s="1"/>
  <c r="AV165" i="13" s="1"/>
  <c r="DE36" i="4"/>
  <c r="H61" i="9"/>
  <c r="CU59" i="4"/>
  <c r="CV59" i="4" s="1"/>
  <c r="AX59" i="4"/>
  <c r="DB59" i="4"/>
  <c r="BE4" i="72"/>
  <c r="AK4" i="72" s="1"/>
  <c r="BF4" i="72"/>
  <c r="AJ4" i="72"/>
  <c r="B76" i="4"/>
  <c r="CW76" i="4" s="1"/>
  <c r="CX76" i="4" s="1"/>
  <c r="BA76" i="4" a="1"/>
  <c r="BA76" i="4" s="1"/>
  <c r="BB76" i="4" s="1"/>
  <c r="AV178" i="13" s="1"/>
  <c r="BA74" i="4" a="1"/>
  <c r="BA74" i="4" s="1"/>
  <c r="BB74" i="4" s="1"/>
  <c r="AV176" i="13" s="1"/>
  <c r="B74" i="4"/>
  <c r="AD74" i="4" s="1"/>
  <c r="AX222" i="13"/>
  <c r="A322" i="13"/>
  <c r="AX322" i="13" s="1"/>
  <c r="A392" i="13"/>
  <c r="AX392" i="13" s="1"/>
  <c r="AX292" i="13"/>
  <c r="K598" i="15" a="1"/>
  <c r="K598" i="15" s="1"/>
  <c r="M598" i="15" a="1"/>
  <c r="M598" i="15" s="1"/>
  <c r="E397" i="15"/>
  <c r="E184" i="15"/>
  <c r="E206" i="15"/>
  <c r="E309" i="15"/>
  <c r="E209" i="15"/>
  <c r="E84" i="15"/>
  <c r="N641" i="15" a="1"/>
  <c r="N641" i="15" s="1"/>
  <c r="L641" i="15" a="1"/>
  <c r="L641" i="15" s="1"/>
  <c r="K641" i="15" a="1"/>
  <c r="K641" i="15" s="1"/>
  <c r="C35" i="23"/>
  <c r="M516" i="15" a="1"/>
  <c r="M516" i="15" s="1"/>
  <c r="AD34" i="4"/>
  <c r="F34" i="69" s="1"/>
  <c r="AL53" i="4"/>
  <c r="I53" i="72" s="1"/>
  <c r="Z43" i="4"/>
  <c r="AV1240" i="13" s="1"/>
  <c r="AD12" i="4"/>
  <c r="F12" i="69" s="1"/>
  <c r="AL22" i="4"/>
  <c r="I22" i="69" s="1"/>
  <c r="AD7" i="4"/>
  <c r="F7" i="69" s="1"/>
  <c r="AH27" i="4"/>
  <c r="AV1323" i="13" s="1"/>
  <c r="AL80" i="4"/>
  <c r="I80" i="72" s="1"/>
  <c r="Z90" i="4"/>
  <c r="AV1287" i="13" s="1"/>
  <c r="AL35" i="4"/>
  <c r="I35" i="69" s="1"/>
  <c r="Z87" i="4"/>
  <c r="AV1284" i="13" s="1"/>
  <c r="Z44" i="4"/>
  <c r="AV1241" i="13" s="1"/>
  <c r="AH87" i="4"/>
  <c r="AV1383" i="13" s="1"/>
  <c r="AL7" i="4"/>
  <c r="I7" i="69" s="1"/>
  <c r="Z20" i="4"/>
  <c r="AV1217" i="13" s="1"/>
  <c r="AH49" i="4"/>
  <c r="AV1345" i="13" s="1"/>
  <c r="Z54" i="4"/>
  <c r="AV1251" i="13" s="1"/>
  <c r="X53" i="72"/>
  <c r="X53" i="69"/>
  <c r="Z5" i="4"/>
  <c r="AV1202" i="13" s="1"/>
  <c r="AL48" i="4"/>
  <c r="I48" i="72" s="1"/>
  <c r="AD14" i="4"/>
  <c r="F14" i="69" s="1"/>
  <c r="AL5" i="4"/>
  <c r="I5" i="72" s="1"/>
  <c r="AL31" i="4"/>
  <c r="I31" i="69" s="1"/>
  <c r="AL37" i="4"/>
  <c r="I37" i="69" s="1"/>
  <c r="Z25" i="4"/>
  <c r="AV1222" i="13" s="1"/>
  <c r="AL6" i="4"/>
  <c r="I6" i="72" s="1"/>
  <c r="X13" i="72"/>
  <c r="X13" i="69"/>
  <c r="X27" i="69"/>
  <c r="X27" i="72"/>
  <c r="X51" i="69"/>
  <c r="X51" i="72"/>
  <c r="BG4" i="4"/>
  <c r="AV1102" i="13" s="1"/>
  <c r="BR4" i="4"/>
  <c r="X4" i="4"/>
  <c r="L4" i="4"/>
  <c r="X12" i="72"/>
  <c r="X12" i="69"/>
  <c r="X90" i="69"/>
  <c r="X90" i="72"/>
  <c r="X16" i="69"/>
  <c r="X16" i="72"/>
  <c r="X77" i="72"/>
  <c r="X77" i="69"/>
  <c r="A1347" i="13"/>
  <c r="AX1248" i="13"/>
  <c r="B58" i="4"/>
  <c r="DA58" i="4" s="1" a="1"/>
  <c r="DA58" i="4" s="1"/>
  <c r="BA58" i="4" a="1"/>
  <c r="BA58" i="4" s="1"/>
  <c r="BB58" i="4" s="1"/>
  <c r="AV160" i="13" s="1"/>
  <c r="AX259" i="13"/>
  <c r="A359" i="13"/>
  <c r="AX359" i="13" s="1"/>
  <c r="AX77" i="4"/>
  <c r="DB77" i="4"/>
  <c r="CU77" i="4"/>
  <c r="CV77" i="4" s="1"/>
  <c r="CW77" i="4"/>
  <c r="CX77" i="4" s="1"/>
  <c r="DE24" i="4"/>
  <c r="E122" i="15"/>
  <c r="CY73" i="4"/>
  <c r="CZ73" i="4" s="1"/>
  <c r="AX73" i="4"/>
  <c r="CU73" i="4"/>
  <c r="CV73" i="4" s="1"/>
  <c r="DB73" i="4"/>
  <c r="CW73" i="4"/>
  <c r="CX73" i="4" s="1"/>
  <c r="B95" i="4"/>
  <c r="AD95" i="4" s="1"/>
  <c r="BA95" i="4" a="1"/>
  <c r="BA95" i="4" s="1"/>
  <c r="BB95" i="4" s="1"/>
  <c r="AV197" i="13" s="1"/>
  <c r="F10" i="72"/>
  <c r="F10" i="69"/>
  <c r="AX214" i="13"/>
  <c r="A314" i="13"/>
  <c r="AX314" i="13" s="1"/>
  <c r="E266" i="15"/>
  <c r="E305" i="15"/>
  <c r="E53" i="15"/>
  <c r="E230" i="15"/>
  <c r="E562" i="15"/>
  <c r="F36" i="23"/>
  <c r="D58" i="23"/>
  <c r="E58" i="23" s="1"/>
  <c r="E495" i="15"/>
  <c r="E55" i="15"/>
  <c r="E187" i="15"/>
  <c r="E404" i="15"/>
  <c r="E70" i="15"/>
  <c r="E372" i="15"/>
  <c r="N583" i="15" a="1"/>
  <c r="N583" i="15" s="1"/>
  <c r="M583" i="15" a="1"/>
  <c r="M583" i="15" s="1"/>
  <c r="E461" i="15"/>
  <c r="E606" i="15"/>
  <c r="E52" i="15"/>
  <c r="N615" i="15" a="1"/>
  <c r="N615" i="15" s="1"/>
  <c r="L615" i="15" a="1"/>
  <c r="L615" i="15" s="1"/>
  <c r="A393" i="13"/>
  <c r="AX393" i="13" s="1"/>
  <c r="AX293" i="13"/>
  <c r="AH42" i="4"/>
  <c r="AV1338" i="13" s="1"/>
  <c r="Z11" i="4"/>
  <c r="AV1208" i="13" s="1"/>
  <c r="Z19" i="4"/>
  <c r="AV1216" i="13" s="1"/>
  <c r="AL49" i="4"/>
  <c r="I49" i="69" s="1"/>
  <c r="DB87" i="4"/>
  <c r="AD80" i="4"/>
  <c r="F80" i="69" s="1"/>
  <c r="Z52" i="4"/>
  <c r="AV1249" i="13" s="1"/>
  <c r="AL15" i="4"/>
  <c r="I15" i="69" s="1"/>
  <c r="AH32" i="4"/>
  <c r="AV1328" i="13" s="1"/>
  <c r="AD21" i="4"/>
  <c r="F21" i="72" s="1"/>
  <c r="AD64" i="4"/>
  <c r="F64" i="69" s="1"/>
  <c r="Z21" i="4"/>
  <c r="AV1218" i="13" s="1"/>
  <c r="AH13" i="4"/>
  <c r="AV1309" i="13" s="1"/>
  <c r="AL32" i="4"/>
  <c r="I32" i="69" s="1"/>
  <c r="AD48" i="4"/>
  <c r="F48" i="69" s="1"/>
  <c r="AL52" i="4"/>
  <c r="I52" i="69" s="1"/>
  <c r="AL16" i="4"/>
  <c r="I16" i="69" s="1"/>
  <c r="AL88" i="4"/>
  <c r="I88" i="72" s="1"/>
  <c r="X56" i="72"/>
  <c r="X56" i="69"/>
  <c r="X91" i="72"/>
  <c r="X91" i="69"/>
  <c r="X25" i="69"/>
  <c r="X25" i="72"/>
  <c r="X70" i="72"/>
  <c r="X70" i="69"/>
  <c r="X62" i="69"/>
  <c r="X62" i="72"/>
  <c r="BF3" i="4"/>
  <c r="X42" i="72"/>
  <c r="X42" i="69"/>
  <c r="F3" i="69"/>
  <c r="F3" i="72"/>
  <c r="CU62" i="4"/>
  <c r="CV62" i="4" s="1"/>
  <c r="AX62" i="4"/>
  <c r="DB62" i="4"/>
  <c r="BH3" i="69" a="1"/>
  <c r="BH3" i="69" s="1"/>
  <c r="BA3" i="69"/>
  <c r="BN3" i="69"/>
  <c r="BK4" i="69"/>
  <c r="BJ4" i="69" s="1"/>
  <c r="BM4" i="69" s="1"/>
  <c r="R4" i="69"/>
  <c r="AY4" i="69"/>
  <c r="AJ4" i="69" s="1" a="1"/>
  <c r="AJ4" i="69" s="1"/>
  <c r="BO4" i="69"/>
  <c r="BH4" i="69" a="1"/>
  <c r="BH4" i="69" s="1"/>
  <c r="BB4" i="69"/>
  <c r="AQ4" i="69" s="1" a="1"/>
  <c r="AQ4" i="69" s="1"/>
  <c r="AK4" i="69" a="1"/>
  <c r="AK4" i="69" s="1"/>
  <c r="CU66" i="4"/>
  <c r="CV66" i="4" s="1"/>
  <c r="AX66" i="4"/>
  <c r="DB66" i="4"/>
  <c r="DA66" i="4" a="1"/>
  <c r="DA66" i="4" s="1"/>
  <c r="CW66" i="4"/>
  <c r="CX66" i="4" s="1"/>
  <c r="E44" i="4"/>
  <c r="BT44" i="4" s="1"/>
  <c r="AS3" i="69" a="1"/>
  <c r="AS3" i="69" s="1"/>
  <c r="AF3" i="69" a="1"/>
  <c r="AF3" i="69" s="1"/>
  <c r="AU3" i="69" a="1"/>
  <c r="AU3" i="69" s="1"/>
  <c r="AP3" i="69" a="1"/>
  <c r="AP3" i="69" s="1"/>
  <c r="AL3" i="69" a="1"/>
  <c r="AL3" i="69" s="1"/>
  <c r="AQ3" i="69" a="1"/>
  <c r="AQ3" i="69" s="1"/>
  <c r="AJ3" i="69" a="1"/>
  <c r="AJ3" i="69" s="1"/>
  <c r="AG3" i="69" a="1"/>
  <c r="AG3" i="69" s="1"/>
  <c r="AV3" i="69" a="1"/>
  <c r="AV3" i="69" s="1"/>
  <c r="AR3" i="69" a="1"/>
  <c r="AR3" i="69" s="1"/>
  <c r="AI3" i="69" a="1"/>
  <c r="AI3" i="69" s="1"/>
  <c r="AH3" i="69" a="1"/>
  <c r="AH3" i="69" s="1"/>
  <c r="U4" i="72" a="1"/>
  <c r="U4" i="72" s="1"/>
  <c r="BD16" i="4"/>
  <c r="BR16" i="4" s="1"/>
  <c r="A332" i="13"/>
  <c r="AX332" i="13" s="1"/>
  <c r="AX232" i="13"/>
  <c r="B52" i="14"/>
  <c r="C53" i="14"/>
  <c r="B54" i="14"/>
  <c r="B53" i="14"/>
  <c r="C52" i="14"/>
  <c r="C54" i="14"/>
  <c r="E535" i="15"/>
  <c r="E188" i="15"/>
  <c r="E200" i="15"/>
  <c r="E642" i="15"/>
  <c r="M641" i="15" s="1" a="1"/>
  <c r="M641" i="15" s="1"/>
  <c r="E331" i="15"/>
  <c r="K535" i="15" a="1"/>
  <c r="K535" i="15" s="1"/>
  <c r="M535" i="15" a="1"/>
  <c r="M535" i="15" s="1"/>
  <c r="N535" i="15" a="1"/>
  <c r="N535" i="15" s="1"/>
  <c r="K625" i="15" a="1"/>
  <c r="K625" i="15" s="1"/>
  <c r="N625" i="15" a="1"/>
  <c r="N625" i="15" s="1"/>
  <c r="E316" i="15"/>
  <c r="E312" i="15"/>
  <c r="C23" i="1"/>
  <c r="I75" i="27"/>
  <c r="I19" i="27" s="1"/>
  <c r="K3" i="1" a="1"/>
  <c r="K3" i="1" s="1"/>
  <c r="K101" i="1" s="1"/>
  <c r="AD36" i="4"/>
  <c r="F36" i="69" s="1"/>
  <c r="AD88" i="4"/>
  <c r="F88" i="72" s="1"/>
  <c r="Z33" i="4"/>
  <c r="AV1230" i="13" s="1"/>
  <c r="Z37" i="4"/>
  <c r="AV1234" i="13" s="1"/>
  <c r="AL14" i="4"/>
  <c r="I14" i="72" s="1"/>
  <c r="AD86" i="4"/>
  <c r="F86" i="69" s="1"/>
  <c r="AH39" i="4"/>
  <c r="AV1335" i="13" s="1"/>
  <c r="I8" i="72"/>
  <c r="AH79" i="4"/>
  <c r="AV1375" i="13" s="1"/>
  <c r="AL72" i="4"/>
  <c r="I72" i="69" s="1"/>
  <c r="Z71" i="4"/>
  <c r="AV1268" i="13" s="1"/>
  <c r="AD27" i="4"/>
  <c r="F27" i="69" s="1"/>
  <c r="AL51" i="4"/>
  <c r="I51" i="69" s="1"/>
  <c r="X85" i="72"/>
  <c r="X85" i="69"/>
  <c r="Z72" i="4"/>
  <c r="AV1269" i="13" s="1"/>
  <c r="AD25" i="4"/>
  <c r="F25" i="69" s="1"/>
  <c r="Z31" i="4"/>
  <c r="AV1228" i="13" s="1"/>
  <c r="AD53" i="4"/>
  <c r="F53" i="72" s="1"/>
  <c r="AD72" i="4"/>
  <c r="F72" i="72" s="1"/>
  <c r="AD65" i="4"/>
  <c r="F65" i="69" s="1"/>
  <c r="Z49" i="4"/>
  <c r="AV1246" i="13" s="1"/>
  <c r="X32" i="69"/>
  <c r="X32" i="72"/>
  <c r="X78" i="69"/>
  <c r="X78" i="72"/>
  <c r="X50" i="72"/>
  <c r="X50" i="69"/>
  <c r="X68" i="72"/>
  <c r="X68" i="69"/>
  <c r="X63" i="72"/>
  <c r="X63" i="69"/>
  <c r="X17" i="69"/>
  <c r="X17" i="72"/>
  <c r="E51" i="4"/>
  <c r="DE35" i="4"/>
  <c r="AX237" i="13"/>
  <c r="A337" i="13"/>
  <c r="AX337" i="13" s="1"/>
  <c r="AX1266" i="13"/>
  <c r="A1365" i="13"/>
  <c r="AX1256" i="13"/>
  <c r="A1355" i="13"/>
  <c r="AX295" i="13"/>
  <c r="A395" i="13"/>
  <c r="AX395" i="13" s="1"/>
  <c r="A1318" i="13"/>
  <c r="AX1219" i="13"/>
  <c r="A1367" i="13"/>
  <c r="AX1268" i="13"/>
  <c r="BQ4" i="69"/>
  <c r="AO4" i="69" a="1"/>
  <c r="AO4" i="69" s="1"/>
  <c r="E408" i="15"/>
  <c r="BA56" i="4" a="1"/>
  <c r="BA56" i="4" s="1"/>
  <c r="BB56" i="4" s="1"/>
  <c r="AV158" i="13" s="1"/>
  <c r="B56" i="4"/>
  <c r="Z56" i="4" s="1"/>
  <c r="AV1253" i="13" s="1"/>
  <c r="BH10" i="69" a="1"/>
  <c r="BH10" i="69" s="1"/>
  <c r="A1383" i="13"/>
  <c r="AX1284" i="13"/>
  <c r="A1325" i="13"/>
  <c r="AX1226" i="13"/>
  <c r="AM4" i="72"/>
  <c r="AX268" i="13"/>
  <c r="A368" i="13"/>
  <c r="AX368" i="13" s="1"/>
  <c r="E135" i="15"/>
  <c r="E539" i="15"/>
  <c r="E534" i="15"/>
  <c r="E95" i="15"/>
  <c r="E464" i="15"/>
  <c r="E182" i="15"/>
  <c r="M594" i="15" a="1"/>
  <c r="M594" i="15" s="1"/>
  <c r="L594" i="15" a="1"/>
  <c r="L594" i="15" s="1"/>
  <c r="E558" i="15"/>
  <c r="E284" i="15"/>
  <c r="E533" i="15"/>
  <c r="E471" i="15"/>
  <c r="E616" i="15"/>
  <c r="M615" i="15" s="1" a="1"/>
  <c r="M615" i="15" s="1"/>
  <c r="E551" i="15"/>
  <c r="M494" i="15" a="1"/>
  <c r="M494" i="15" s="1"/>
  <c r="E620" i="15"/>
  <c r="E583" i="15"/>
  <c r="L498" i="15" a="1"/>
  <c r="L498" i="15" s="1"/>
  <c r="N498" i="15" a="1"/>
  <c r="N498" i="15" s="1"/>
  <c r="AD49" i="4"/>
  <c r="F49" i="69" s="1"/>
  <c r="AD70" i="4"/>
  <c r="F70" i="72" s="1"/>
  <c r="Z81" i="4"/>
  <c r="AV1278" i="13" s="1"/>
  <c r="AH18" i="4"/>
  <c r="AV1314" i="13" s="1"/>
  <c r="Z75" i="4"/>
  <c r="AV1272" i="13" s="1"/>
  <c r="AL28" i="4"/>
  <c r="I28" i="69" s="1"/>
  <c r="AD91" i="4"/>
  <c r="F91" i="72" s="1"/>
  <c r="X46" i="72"/>
  <c r="X46" i="69"/>
  <c r="AH11" i="4"/>
  <c r="AV1307" i="13" s="1"/>
  <c r="AL12" i="4"/>
  <c r="I12" i="72" s="1"/>
  <c r="AD32" i="4"/>
  <c r="F32" i="72" s="1"/>
  <c r="AD17" i="4"/>
  <c r="F17" i="72" s="1"/>
  <c r="Z80" i="4"/>
  <c r="AV1277" i="13" s="1"/>
  <c r="AL17" i="4"/>
  <c r="I17" i="69" s="1"/>
  <c r="BF9" i="4"/>
  <c r="AL42" i="4"/>
  <c r="I42" i="69" s="1"/>
  <c r="AL11" i="4"/>
  <c r="I11" i="69" s="1"/>
  <c r="Z7" i="4"/>
  <c r="AV1204" i="13" s="1"/>
  <c r="Z40" i="4"/>
  <c r="AV1237" i="13" s="1"/>
  <c r="X30" i="69"/>
  <c r="X30" i="72"/>
  <c r="Z65" i="4"/>
  <c r="AV1262" i="13" s="1"/>
  <c r="AH64" i="4"/>
  <c r="AV1360" i="13" s="1"/>
  <c r="AL47" i="4"/>
  <c r="I47" i="69" s="1"/>
  <c r="AH91" i="4"/>
  <c r="AV1387" i="13" s="1"/>
  <c r="AL29" i="4"/>
  <c r="I29" i="69" s="1"/>
  <c r="AD13" i="4"/>
  <c r="F13" i="72" s="1"/>
  <c r="Z29" i="4"/>
  <c r="AV1226" i="13" s="1"/>
  <c r="AL40" i="4"/>
  <c r="I40" i="69" s="1"/>
  <c r="X19" i="69"/>
  <c r="X19" i="72"/>
  <c r="X26" i="69"/>
  <c r="X26" i="72"/>
  <c r="X66" i="69"/>
  <c r="X66" i="72"/>
  <c r="X72" i="72"/>
  <c r="X72" i="69"/>
  <c r="G60" i="4"/>
  <c r="CY60" i="4" s="1"/>
  <c r="CZ60" i="4" s="1"/>
  <c r="BO60" i="4"/>
  <c r="X86" i="69"/>
  <c r="X86" i="72"/>
  <c r="X54" i="72"/>
  <c r="X54" i="69"/>
  <c r="BG3" i="4"/>
  <c r="X3" i="4"/>
  <c r="BR3" i="4"/>
  <c r="L3" i="4"/>
  <c r="A1303" i="13"/>
  <c r="AX1204" i="13"/>
  <c r="A347" i="13"/>
  <c r="AX347" i="13" s="1"/>
  <c r="AX247" i="13"/>
  <c r="K37" i="71"/>
  <c r="AV1200" i="13"/>
  <c r="S3" i="69"/>
  <c r="B3" i="72"/>
  <c r="B3" i="69"/>
  <c r="S3" i="72"/>
  <c r="AI3" i="72" s="1"/>
  <c r="A1313" i="13"/>
  <c r="AX1214" i="13"/>
  <c r="DE6" i="4"/>
  <c r="E249" i="15"/>
  <c r="E356" i="15"/>
  <c r="E150" i="15"/>
  <c r="E85" i="15"/>
  <c r="E267" i="15"/>
  <c r="E128" i="15"/>
  <c r="E105" i="15"/>
  <c r="E532" i="15"/>
  <c r="E376" i="15"/>
  <c r="E166" i="15"/>
  <c r="E183" i="15"/>
  <c r="E436" i="15"/>
  <c r="E107" i="15"/>
  <c r="E308" i="15"/>
  <c r="E137" i="15"/>
  <c r="BO10" i="69"/>
  <c r="BA69" i="4" a="1"/>
  <c r="BA69" i="4" s="1"/>
  <c r="BB69" i="4" s="1"/>
  <c r="AV171" i="13" s="1"/>
  <c r="B69" i="4"/>
  <c r="AH69" i="4" s="1"/>
  <c r="AV1365" i="13" s="1"/>
  <c r="BH4" i="72"/>
  <c r="E4" i="72"/>
  <c r="DE27" i="4"/>
  <c r="A353" i="13"/>
  <c r="AX353" i="13" s="1"/>
  <c r="AX253" i="13"/>
  <c r="E215" i="15"/>
  <c r="E275" i="15"/>
  <c r="E391" i="15"/>
  <c r="E324" i="15"/>
  <c r="E389" i="15"/>
  <c r="E613" i="15"/>
  <c r="E625" i="15"/>
  <c r="E448" i="15"/>
  <c r="E623" i="15"/>
  <c r="AH40" i="4"/>
  <c r="AV1336" i="13" s="1"/>
  <c r="Z30" i="4"/>
  <c r="AV1227" i="13" s="1"/>
  <c r="DB81" i="4"/>
  <c r="AH77" i="4"/>
  <c r="AV1373" i="13" s="1"/>
  <c r="AL26" i="4"/>
  <c r="I26" i="69" s="1"/>
  <c r="AH90" i="4"/>
  <c r="AV1386" i="13" s="1"/>
  <c r="AH30" i="4"/>
  <c r="AV1326" i="13" s="1"/>
  <c r="AH51" i="4"/>
  <c r="AV1347" i="13" s="1"/>
  <c r="AH14" i="4"/>
  <c r="AV1310" i="13" s="1"/>
  <c r="Z12" i="4"/>
  <c r="AV1209" i="13" s="1"/>
  <c r="AL45" i="4"/>
  <c r="I45" i="69" s="1"/>
  <c r="Z48" i="4"/>
  <c r="AV1245" i="13" s="1"/>
  <c r="Z16" i="4"/>
  <c r="AV1213" i="13" s="1"/>
  <c r="BG9" i="4"/>
  <c r="AV1107" i="13" s="1"/>
  <c r="BR9" i="4"/>
  <c r="AD9" i="72" s="1"/>
  <c r="X9" i="4"/>
  <c r="L9" i="4"/>
  <c r="AL41" i="4"/>
  <c r="I41" i="69" s="1"/>
  <c r="AH20" i="4"/>
  <c r="AV1316" i="13" s="1"/>
  <c r="AH19" i="4"/>
  <c r="AV1315" i="13" s="1"/>
  <c r="AD40" i="4"/>
  <c r="F40" i="69" s="1"/>
  <c r="AD33" i="4"/>
  <c r="F33" i="69" s="1"/>
  <c r="AH24" i="4"/>
  <c r="AV1320" i="13" s="1"/>
  <c r="AH81" i="4"/>
  <c r="AV1377" i="13" s="1"/>
  <c r="X33" i="72"/>
  <c r="X33" i="69"/>
  <c r="AL34" i="4"/>
  <c r="I34" i="69" s="1"/>
  <c r="Z50" i="4"/>
  <c r="X7" i="69"/>
  <c r="X7" i="72"/>
  <c r="X49" i="69"/>
  <c r="X49" i="72"/>
  <c r="X22" i="72"/>
  <c r="X22" i="69"/>
  <c r="X38" i="69"/>
  <c r="X38" i="72"/>
  <c r="X29" i="72"/>
  <c r="X29" i="69"/>
  <c r="X75" i="72"/>
  <c r="X75" i="69"/>
  <c r="X92" i="69"/>
  <c r="X92" i="72"/>
  <c r="A1308" i="13"/>
  <c r="AX1209" i="13"/>
  <c r="AS72" i="4"/>
  <c r="AV674" i="13" s="1"/>
  <c r="BT36" i="4"/>
  <c r="B62" i="4"/>
  <c r="Z62" i="4" s="1"/>
  <c r="AV1259" i="13" s="1"/>
  <c r="BA62" i="4" a="1"/>
  <c r="BA62" i="4" s="1"/>
  <c r="BB62" i="4" s="1"/>
  <c r="AV164" i="13" s="1"/>
  <c r="AS88" i="4"/>
  <c r="AV690" i="13" s="1"/>
  <c r="E251" i="15"/>
  <c r="DE41" i="4"/>
  <c r="AX1225" i="13"/>
  <c r="A1324" i="13"/>
  <c r="AX213" i="13"/>
  <c r="A313" i="13"/>
  <c r="AX313" i="13" s="1"/>
  <c r="B60" i="4"/>
  <c r="DE60" i="4" s="1"/>
  <c r="BA60" i="4" a="1"/>
  <c r="BA60" i="4" s="1"/>
  <c r="BB60" i="4" s="1"/>
  <c r="AV162" i="13" s="1"/>
  <c r="AX1242" i="13"/>
  <c r="A1341" i="13"/>
  <c r="B93" i="4"/>
  <c r="AL93" i="4" s="1"/>
  <c r="I93" i="72" s="1"/>
  <c r="BA93" i="4" a="1"/>
  <c r="BA93" i="4" s="1"/>
  <c r="BB93" i="4" s="1"/>
  <c r="AV195" i="13" s="1"/>
  <c r="DB68" i="4"/>
  <c r="AX68" i="4"/>
  <c r="CU68" i="4"/>
  <c r="CV68" i="4" s="1"/>
  <c r="A1353" i="13"/>
  <c r="AX1254" i="13"/>
  <c r="AX1285" i="13"/>
  <c r="A1384" i="13"/>
  <c r="AX56" i="4"/>
  <c r="CU56" i="4"/>
  <c r="CV56" i="4" s="1"/>
  <c r="DB56" i="4"/>
  <c r="CY56" i="4"/>
  <c r="CZ56" i="4" s="1"/>
  <c r="BD10" i="4"/>
  <c r="X10" i="4" s="1"/>
  <c r="BT10" i="4"/>
  <c r="B68" i="4"/>
  <c r="F68" i="4" s="1"/>
  <c r="BA68" i="4" a="1"/>
  <c r="BA68" i="4" s="1"/>
  <c r="BB68" i="4" s="1"/>
  <c r="AV170" i="13" s="1"/>
  <c r="E6" i="4"/>
  <c r="AX215" i="13"/>
  <c r="A315" i="13"/>
  <c r="AX315" i="13" s="1"/>
  <c r="I3" i="69"/>
  <c r="I3" i="72"/>
  <c r="BC4" i="69"/>
  <c r="AS92" i="4"/>
  <c r="AV694" i="13" s="1"/>
  <c r="AU3" i="72" a="1"/>
  <c r="AU3" i="72" s="1"/>
  <c r="AV3" i="72" a="1"/>
  <c r="AV3" i="72" s="1"/>
  <c r="AO3" i="72" a="1"/>
  <c r="AO3" i="72" s="1"/>
  <c r="AL3" i="72" a="1"/>
  <c r="AL3" i="72" s="1"/>
  <c r="AW3" i="72" a="1"/>
  <c r="AW3" i="72" s="1"/>
  <c r="BA3" i="72" a="1"/>
  <c r="BA3" i="72" s="1"/>
  <c r="AF3" i="72" a="1"/>
  <c r="AF3" i="72" s="1"/>
  <c r="AG3" i="72" a="1"/>
  <c r="AG3" i="72" s="1"/>
  <c r="AZ3" i="72" a="1"/>
  <c r="AZ3" i="72" s="1"/>
  <c r="AQ3" i="72" a="1"/>
  <c r="AQ3" i="72" s="1"/>
  <c r="AP3" i="72" a="1"/>
  <c r="AP3" i="72" s="1"/>
  <c r="A383" i="13"/>
  <c r="AX383" i="13" s="1"/>
  <c r="AX283" i="13"/>
  <c r="BO3" i="69"/>
  <c r="AE4" i="72" a="1"/>
  <c r="AE4" i="72" s="1"/>
  <c r="AP4" i="72" s="1" a="1"/>
  <c r="AP4" i="72" s="1"/>
  <c r="AI10" i="69" a="1"/>
  <c r="AI10" i="69" s="1"/>
  <c r="AR10" i="69" a="1"/>
  <c r="AR10" i="69" s="1"/>
  <c r="AH10" i="69" a="1"/>
  <c r="AH10" i="69" s="1"/>
  <c r="AQ10" i="69" a="1"/>
  <c r="AQ10" i="69" s="1"/>
  <c r="AF10" i="69" a="1"/>
  <c r="AF10" i="69" s="1"/>
  <c r="AJ10" i="69" a="1"/>
  <c r="AJ10" i="69" s="1"/>
  <c r="AG10" i="69" a="1"/>
  <c r="AG10" i="69" s="1"/>
  <c r="AU10" i="69" a="1"/>
  <c r="AU10" i="69" s="1"/>
  <c r="AV10" i="69" a="1"/>
  <c r="AV10" i="69" s="1"/>
  <c r="AP10" i="69" a="1"/>
  <c r="AP10" i="69" s="1"/>
  <c r="AL10" i="69" a="1"/>
  <c r="AL10" i="69" s="1"/>
  <c r="AS10" i="69" a="1"/>
  <c r="AS10" i="69" s="1"/>
  <c r="N574" i="15" a="1"/>
  <c r="N574" i="15" s="1"/>
  <c r="K632" i="15" a="1"/>
  <c r="K632" i="15" s="1"/>
  <c r="L632" i="15" a="1"/>
  <c r="L632" i="15" s="1"/>
  <c r="N632" i="15" a="1"/>
  <c r="N632" i="15" s="1"/>
  <c r="E528" i="15"/>
  <c r="E63" i="15"/>
  <c r="D58" i="14"/>
  <c r="E554" i="15"/>
  <c r="L620" i="15" a="1"/>
  <c r="L620" i="15" s="1"/>
  <c r="E211" i="15"/>
  <c r="E396" i="15"/>
  <c r="N571" i="15" a="1"/>
  <c r="N571" i="15" s="1"/>
  <c r="E98" i="15"/>
  <c r="E201" i="15"/>
  <c r="BJ10" i="71"/>
  <c r="AX23" i="4"/>
  <c r="CU23" i="4"/>
  <c r="CV23" i="4" s="1"/>
  <c r="BA59" i="4" a="1"/>
  <c r="BA59" i="4" s="1"/>
  <c r="BB59" i="4" s="1"/>
  <c r="AV161" i="13" s="1"/>
  <c r="B59" i="4"/>
  <c r="AP59" i="4" s="1"/>
  <c r="AV361" i="13" s="1"/>
  <c r="AV461" i="13" s="1"/>
  <c r="E516" i="15"/>
  <c r="E588" i="15"/>
  <c r="E228" i="15"/>
  <c r="E542" i="15"/>
  <c r="E536" i="15"/>
  <c r="E44" i="15"/>
  <c r="E438" i="15"/>
  <c r="E451" i="15"/>
  <c r="E377" i="15"/>
  <c r="E167" i="15"/>
  <c r="E121" i="15"/>
  <c r="E504" i="15"/>
  <c r="E414" i="15"/>
  <c r="E452" i="15"/>
  <c r="E148" i="15"/>
  <c r="E477" i="15"/>
  <c r="E512" i="15"/>
  <c r="E269" i="15"/>
  <c r="E509" i="15"/>
  <c r="E577" i="15"/>
  <c r="K571" i="15" s="1" a="1"/>
  <c r="K571" i="15" s="1"/>
  <c r="E519" i="15"/>
  <c r="E181" i="15"/>
  <c r="E210" i="15"/>
  <c r="E498" i="15"/>
  <c r="E480" i="15"/>
  <c r="E615" i="15"/>
  <c r="E596" i="15"/>
  <c r="E621" i="15"/>
  <c r="K620" i="15" s="1" a="1"/>
  <c r="K620" i="15" s="1"/>
  <c r="E492" i="15"/>
  <c r="E421" i="15"/>
  <c r="E413" i="15"/>
  <c r="E241" i="15"/>
  <c r="A1311" i="13"/>
  <c r="AX1212" i="13"/>
  <c r="X39" i="72"/>
  <c r="X39" i="69"/>
  <c r="Z14" i="4"/>
  <c r="AV1211" i="13" s="1"/>
  <c r="AL87" i="4"/>
  <c r="I87" i="69" s="1"/>
  <c r="AD38" i="4"/>
  <c r="F38" i="69" s="1"/>
  <c r="AH22" i="4"/>
  <c r="AV1318" i="13" s="1"/>
  <c r="AD51" i="4"/>
  <c r="F51" i="69" s="1"/>
  <c r="Z34" i="4"/>
  <c r="AV1231" i="13" s="1"/>
  <c r="AD90" i="4"/>
  <c r="F90" i="69" s="1"/>
  <c r="Z64" i="4"/>
  <c r="AV1261" i="13" s="1"/>
  <c r="X80" i="69"/>
  <c r="X80" i="72"/>
  <c r="AH26" i="4"/>
  <c r="AV1322" i="13" s="1"/>
  <c r="Z77" i="4"/>
  <c r="AV1274" i="13" s="1"/>
  <c r="AD30" i="4"/>
  <c r="F30" i="69" s="1"/>
  <c r="AH34" i="4"/>
  <c r="AV1330" i="13" s="1"/>
  <c r="Z45" i="4"/>
  <c r="AV1242" i="13" s="1"/>
  <c r="AL90" i="4"/>
  <c r="I90" i="69" s="1"/>
  <c r="X20" i="72"/>
  <c r="X20" i="69"/>
  <c r="Z42" i="4"/>
  <c r="AV1239" i="13" s="1"/>
  <c r="AL27" i="4"/>
  <c r="I27" i="72" s="1"/>
  <c r="X59" i="72"/>
  <c r="X59" i="69"/>
  <c r="X24" i="72"/>
  <c r="X24" i="69"/>
  <c r="X67" i="72"/>
  <c r="X67" i="69"/>
  <c r="X61" i="69"/>
  <c r="X61" i="72"/>
  <c r="X83" i="72"/>
  <c r="X83" i="69"/>
  <c r="A1352" i="13"/>
  <c r="AX1253" i="13"/>
  <c r="BA83" i="4" a="1"/>
  <c r="BA83" i="4" s="1"/>
  <c r="BB83" i="4" s="1"/>
  <c r="AV185" i="13" s="1"/>
  <c r="B83" i="4"/>
  <c r="F83" i="4" s="1"/>
  <c r="AX1288" i="13"/>
  <c r="A1387" i="13"/>
  <c r="AS70" i="4"/>
  <c r="AV672" i="13" s="1"/>
  <c r="CU95" i="4"/>
  <c r="CV95" i="4" s="1"/>
  <c r="DB95" i="4"/>
  <c r="AX95" i="4"/>
  <c r="B61" i="4"/>
  <c r="F61" i="4" s="1"/>
  <c r="BA61" i="4" a="1"/>
  <c r="BA61" i="4" s="1"/>
  <c r="BB61" i="4" s="1"/>
  <c r="AV163" i="13" s="1"/>
  <c r="AX1271" i="13"/>
  <c r="A1370" i="13"/>
  <c r="A386" i="13"/>
  <c r="AX386" i="13" s="1"/>
  <c r="AX286" i="13"/>
  <c r="DE16" i="4"/>
  <c r="E545" i="15"/>
  <c r="E186" i="15"/>
  <c r="E553" i="15"/>
  <c r="E93" i="15"/>
  <c r="E301" i="15"/>
  <c r="A374" i="13"/>
  <c r="AX374" i="13" s="1"/>
  <c r="AX274" i="13"/>
  <c r="AT3" i="72" a="1"/>
  <c r="AT3" i="72" s="1"/>
  <c r="A369" i="13"/>
  <c r="AX369" i="13" s="1"/>
  <c r="AX269" i="13"/>
  <c r="BT45" i="4"/>
  <c r="AO3" i="69" a="1"/>
  <c r="AO3" i="69" s="1"/>
  <c r="AK3" i="69" a="1"/>
  <c r="AK3" i="69" s="1"/>
  <c r="DE22" i="4"/>
  <c r="E66" i="15"/>
  <c r="E108" i="15"/>
  <c r="BS4" i="72"/>
  <c r="BV4" i="72"/>
  <c r="AX1224" i="13"/>
  <c r="A1323" i="13"/>
  <c r="A346" i="13"/>
  <c r="AX346" i="13" s="1"/>
  <c r="AX246" i="13"/>
  <c r="A370" i="13"/>
  <c r="AX370" i="13" s="1"/>
  <c r="AX270" i="13"/>
  <c r="M497" i="15" a="1"/>
  <c r="M497" i="15" s="1"/>
  <c r="K497" i="15" a="1"/>
  <c r="K497" i="15" s="1"/>
  <c r="N497" i="15" a="1"/>
  <c r="N497" i="15" s="1"/>
  <c r="L497" i="15" a="1"/>
  <c r="L497" i="15" s="1"/>
  <c r="E517" i="15"/>
  <c r="E334" i="15"/>
  <c r="F35" i="23"/>
  <c r="B35" i="23" s="1"/>
  <c r="B57" i="23"/>
  <c r="D57" i="23"/>
  <c r="E246" i="15"/>
  <c r="E395" i="15"/>
  <c r="E239" i="15"/>
  <c r="E337" i="15"/>
  <c r="E459" i="15"/>
  <c r="E125" i="15"/>
  <c r="E467" i="15"/>
  <c r="E584" i="15"/>
  <c r="E345" i="15"/>
  <c r="AH85" i="4"/>
  <c r="AV1381" i="13" s="1"/>
  <c r="AL19" i="4"/>
  <c r="I19" i="72" s="1"/>
  <c r="AD18" i="4"/>
  <c r="F18" i="72" s="1"/>
  <c r="AD16" i="4"/>
  <c r="F16" i="72" s="1"/>
  <c r="X5" i="69"/>
  <c r="X5" i="72"/>
  <c r="B101" i="1"/>
  <c r="Z88" i="4"/>
  <c r="AV1285" i="13" s="1"/>
  <c r="AD19" i="4"/>
  <c r="F19" i="69" s="1"/>
  <c r="AL36" i="4"/>
  <c r="I36" i="69" s="1"/>
  <c r="AL91" i="4"/>
  <c r="I91" i="69" s="1"/>
  <c r="AH15" i="4"/>
  <c r="AV1311" i="13" s="1"/>
  <c r="Z36" i="4"/>
  <c r="AV1233" i="13" s="1"/>
  <c r="AH37" i="4"/>
  <c r="AV1333" i="13" s="1"/>
  <c r="AL75" i="4"/>
  <c r="I75" i="69" s="1"/>
  <c r="AH54" i="4"/>
  <c r="AV1350" i="13" s="1"/>
  <c r="AH38" i="4"/>
  <c r="AV1334" i="13" s="1"/>
  <c r="X82" i="69"/>
  <c r="X82" i="72"/>
  <c r="AD24" i="4"/>
  <c r="F24" i="69" s="1"/>
  <c r="AH29" i="4"/>
  <c r="AV1325" i="13" s="1"/>
  <c r="X41" i="69"/>
  <c r="X41" i="72"/>
  <c r="X52" i="69"/>
  <c r="X52" i="72"/>
  <c r="X64" i="72"/>
  <c r="X64" i="69"/>
  <c r="X79" i="69"/>
  <c r="X79" i="72"/>
  <c r="BG10" i="4"/>
  <c r="AV1108" i="13" s="1"/>
  <c r="L10" i="4"/>
  <c r="X11" i="72"/>
  <c r="X11" i="69"/>
  <c r="DE29" i="4"/>
  <c r="A356" i="13"/>
  <c r="AX356" i="13" s="1"/>
  <c r="AX256" i="13"/>
  <c r="A373" i="13"/>
  <c r="AX373" i="13" s="1"/>
  <c r="AX273" i="13"/>
  <c r="CU60" i="4"/>
  <c r="CV60" i="4" s="1"/>
  <c r="AX60" i="4"/>
  <c r="A345" i="13"/>
  <c r="AX345" i="13" s="1"/>
  <c r="AX245" i="13"/>
  <c r="DB58" i="4"/>
  <c r="AR58" i="72" s="1"/>
  <c r="AX58" i="4"/>
  <c r="CU58" i="4"/>
  <c r="CV58" i="4" s="1"/>
  <c r="BD29" i="4"/>
  <c r="BA92" i="4" a="1"/>
  <c r="BA92" i="4" s="1"/>
  <c r="BB92" i="4" s="1"/>
  <c r="AV194" i="13" s="1"/>
  <c r="B92" i="4"/>
  <c r="AD92" i="4" s="1"/>
  <c r="E41" i="4"/>
  <c r="BT41" i="4" s="1"/>
  <c r="E11" i="4"/>
  <c r="E576" i="15"/>
  <c r="E129" i="15"/>
  <c r="CW18" i="4"/>
  <c r="CX18" i="4" s="1"/>
  <c r="E82" i="15"/>
  <c r="E254" i="15"/>
  <c r="E227" i="15"/>
  <c r="E340" i="15"/>
  <c r="E110" i="15"/>
  <c r="E77" i="15"/>
  <c r="E90" i="15"/>
  <c r="E361" i="15"/>
  <c r="E234" i="15"/>
  <c r="E445" i="15"/>
  <c r="E367" i="15"/>
  <c r="E78" i="15"/>
  <c r="E556" i="15"/>
  <c r="E43" i="15"/>
  <c r="BL4" i="69" a="1"/>
  <c r="BL4" i="69" s="1"/>
  <c r="AZ4" i="69"/>
  <c r="AI4" i="69" s="1" a="1"/>
  <c r="AI4" i="69" s="1"/>
  <c r="BA4" i="69"/>
  <c r="DE44" i="4"/>
  <c r="AX1237" i="13"/>
  <c r="A1336" i="13"/>
  <c r="A1326" i="13"/>
  <c r="AX1227" i="13"/>
  <c r="CU96" i="4"/>
  <c r="CV96" i="4" s="1"/>
  <c r="CW96" i="4"/>
  <c r="CX96" i="4" s="1"/>
  <c r="AX96" i="4"/>
  <c r="DB96" i="4"/>
  <c r="AM96" i="69" s="1"/>
  <c r="DA96" i="4" a="1"/>
  <c r="DA96" i="4" s="1"/>
  <c r="F96" i="4"/>
  <c r="AD96" i="4"/>
  <c r="F96" i="72" s="1"/>
  <c r="Z96" i="4"/>
  <c r="AV1293" i="13" s="1"/>
  <c r="AP96" i="4"/>
  <c r="AV398" i="13" s="1"/>
  <c r="AV498" i="13" s="1"/>
  <c r="AL96" i="4"/>
  <c r="I96" i="72" s="1"/>
  <c r="BI3" i="69" a="1"/>
  <c r="BI3" i="69" s="1"/>
  <c r="CW36" i="4"/>
  <c r="CX36" i="4" s="1"/>
  <c r="B57" i="4"/>
  <c r="AD57" i="4" s="1"/>
  <c r="BA57" i="4" a="1"/>
  <c r="BA57" i="4" s="1"/>
  <c r="BB57" i="4" s="1"/>
  <c r="AV159" i="13" s="1"/>
  <c r="BP4" i="72"/>
  <c r="BO4" i="72" s="1"/>
  <c r="BR4" i="72" s="1"/>
  <c r="BT4" i="72"/>
  <c r="BD4" i="72"/>
  <c r="R4" i="72"/>
  <c r="BM4" i="72" a="1"/>
  <c r="BM4" i="72" s="1"/>
  <c r="AN4" i="72"/>
  <c r="AI4" i="72"/>
  <c r="BG4" i="72"/>
  <c r="AX1258" i="13"/>
  <c r="A1357" i="13"/>
  <c r="DE13" i="4"/>
  <c r="E274" i="15"/>
  <c r="E323" i="15"/>
  <c r="E483" i="15"/>
  <c r="E388" i="15"/>
  <c r="E315" i="15"/>
  <c r="E65" i="15"/>
  <c r="E640" i="15"/>
  <c r="E601" i="15"/>
  <c r="B54" i="23"/>
  <c r="E141" i="15"/>
  <c r="E140" i="15"/>
  <c r="E525" i="15"/>
  <c r="D56" i="14"/>
  <c r="C56" i="14"/>
  <c r="B56" i="14"/>
  <c r="F38" i="14"/>
  <c r="P38" i="14" s="1"/>
  <c r="F51" i="23"/>
  <c r="C53" i="23"/>
  <c r="AG1" i="23"/>
  <c r="B53" i="23"/>
  <c r="B52" i="23"/>
  <c r="C52" i="23"/>
  <c r="B51" i="14"/>
  <c r="O1" i="14" s="1"/>
  <c r="E631" i="15"/>
  <c r="M629" i="15" s="1" a="1"/>
  <c r="M629" i="15" s="1"/>
  <c r="M478" i="15" a="1"/>
  <c r="M478" i="15" s="1"/>
  <c r="K478" i="15" a="1"/>
  <c r="K478" i="15" s="1"/>
  <c r="E332" i="15"/>
  <c r="N519" i="15" a="1"/>
  <c r="N519" i="15" s="1"/>
  <c r="M519" i="15" a="1"/>
  <c r="M519" i="15" s="1"/>
  <c r="BA78" i="4" a="1"/>
  <c r="BA78" i="4" s="1"/>
  <c r="BB78" i="4" s="1"/>
  <c r="AV180" i="13" s="1"/>
  <c r="B78" i="4"/>
  <c r="AL78" i="4" s="1"/>
  <c r="I78" i="72" s="1"/>
  <c r="BS194" i="4"/>
  <c r="AD8" i="4"/>
  <c r="F8" i="69" s="1"/>
  <c r="AH43" i="4"/>
  <c r="AV1339" i="13" s="1"/>
  <c r="AH65" i="4"/>
  <c r="AV1361" i="13" s="1"/>
  <c r="Z15" i="4"/>
  <c r="AV1212" i="13" s="1"/>
  <c r="Z13" i="4"/>
  <c r="AV1210" i="13" s="1"/>
  <c r="AL82" i="4"/>
  <c r="I82" i="72" s="1"/>
  <c r="AH71" i="4"/>
  <c r="AV1367" i="13" s="1"/>
  <c r="Z38" i="4"/>
  <c r="AV1235" i="13" s="1"/>
  <c r="AH53" i="4"/>
  <c r="AV1349" i="13" s="1"/>
  <c r="AH6" i="4"/>
  <c r="AV1302" i="13" s="1"/>
  <c r="AH16" i="4"/>
  <c r="AV1312" i="13" s="1"/>
  <c r="AH5" i="4"/>
  <c r="AV1301" i="13" s="1"/>
  <c r="Z41" i="4"/>
  <c r="AV1238" i="13" s="1"/>
  <c r="AD85" i="4"/>
  <c r="F85" i="72" s="1"/>
  <c r="AD75" i="4"/>
  <c r="F75" i="72" s="1"/>
  <c r="AH75" i="4"/>
  <c r="AV1371" i="13" s="1"/>
  <c r="AD66" i="4"/>
  <c r="F66" i="72" s="1"/>
  <c r="AD81" i="4"/>
  <c r="F81" i="72" s="1"/>
  <c r="AH47" i="4"/>
  <c r="AV1343" i="13" s="1"/>
  <c r="AL33" i="4"/>
  <c r="I33" i="72" s="1"/>
  <c r="AD44" i="4"/>
  <c r="F44" i="69" s="1"/>
  <c r="AL25" i="4"/>
  <c r="I25" i="69" s="1"/>
  <c r="Z22" i="4"/>
  <c r="AV1219" i="13" s="1"/>
  <c r="AH82" i="4"/>
  <c r="AV1378" i="13" s="1"/>
  <c r="AD29" i="4"/>
  <c r="F29" i="72" s="1"/>
  <c r="Z86" i="4"/>
  <c r="AV1283" i="13" s="1"/>
  <c r="AD6" i="4"/>
  <c r="F6" i="69" s="1"/>
  <c r="AH48" i="4"/>
  <c r="AV1344" i="13" s="1"/>
  <c r="AL54" i="4"/>
  <c r="I54" i="69" s="1"/>
  <c r="AH33" i="4"/>
  <c r="AV1329" i="13" s="1"/>
  <c r="Z26" i="4"/>
  <c r="AV1223" i="13" s="1"/>
  <c r="AH72" i="4"/>
  <c r="AV1368" i="13" s="1"/>
  <c r="AH17" i="4"/>
  <c r="AV1313" i="13" s="1"/>
  <c r="AH84" i="4"/>
  <c r="AV1380" i="13" s="1"/>
  <c r="X71" i="72"/>
  <c r="X71" i="69"/>
  <c r="X36" i="72"/>
  <c r="X36" i="69"/>
  <c r="X76" i="72"/>
  <c r="X76" i="69"/>
  <c r="X34" i="72"/>
  <c r="X34" i="69"/>
  <c r="X88" i="72"/>
  <c r="X88" i="69"/>
  <c r="A352" i="13"/>
  <c r="AX352" i="13" s="1"/>
  <c r="AX252" i="13"/>
  <c r="AX209" i="13"/>
  <c r="A309" i="13"/>
  <c r="AX309" i="13" s="1"/>
  <c r="A329" i="13"/>
  <c r="AX329" i="13" s="1"/>
  <c r="AX229" i="13"/>
  <c r="AX1202" i="13"/>
  <c r="A1301" i="13"/>
  <c r="AX63" i="4"/>
  <c r="DB63" i="4"/>
  <c r="CU63" i="4"/>
  <c r="CV63" i="4" s="1"/>
  <c r="B89" i="4"/>
  <c r="AP89" i="4" s="1"/>
  <c r="AV391" i="13" s="1"/>
  <c r="AV491" i="13" s="1"/>
  <c r="BA89" i="4" a="1"/>
  <c r="BA89" i="4" s="1"/>
  <c r="BB89" i="4" s="1"/>
  <c r="AV191" i="13" s="1"/>
  <c r="Z58" i="14" s="1" a="1"/>
  <c r="Z58" i="14" s="1"/>
  <c r="B58" i="14" s="1"/>
  <c r="AT10" i="72" a="1"/>
  <c r="AT10" i="72" s="1"/>
  <c r="AZ10" i="72" a="1"/>
  <c r="AZ10" i="72" s="1"/>
  <c r="AQ10" i="72" a="1"/>
  <c r="AQ10" i="72" s="1"/>
  <c r="BA10" i="72" a="1"/>
  <c r="BA10" i="72" s="1"/>
  <c r="AW10" i="72" a="1"/>
  <c r="AW10" i="72" s="1"/>
  <c r="AF10" i="72" a="1"/>
  <c r="AF10" i="72" s="1"/>
  <c r="AO10" i="72" a="1"/>
  <c r="AO10" i="72" s="1"/>
  <c r="AU10" i="72" a="1"/>
  <c r="AU10" i="72" s="1"/>
  <c r="AL10" i="72" a="1"/>
  <c r="AL10" i="72" s="1"/>
  <c r="AG10" i="72" a="1"/>
  <c r="AG10" i="72" s="1"/>
  <c r="AV10" i="72" a="1"/>
  <c r="AV10" i="72" s="1"/>
  <c r="AX10" i="72" a="1"/>
  <c r="AX10" i="72" s="1"/>
  <c r="AT9" i="72" a="1"/>
  <c r="AT9" i="72" s="1"/>
  <c r="A1380" i="13"/>
  <c r="AX1281" i="13"/>
  <c r="E158" i="15"/>
  <c r="E593" i="15"/>
  <c r="E48" i="15"/>
  <c r="E600" i="15"/>
  <c r="E245" i="15"/>
  <c r="E54" i="15"/>
  <c r="E297" i="15"/>
  <c r="E398" i="15"/>
  <c r="E219" i="15"/>
  <c r="E118" i="15"/>
  <c r="BY23" i="4" a="1"/>
  <c r="BY23" i="4" s="1"/>
  <c r="BZ23" i="4" a="1"/>
  <c r="BZ23" i="4" s="1"/>
  <c r="BX23" i="4" s="1" a="1"/>
  <c r="BX23" i="4" s="1"/>
  <c r="N581" i="15" a="1"/>
  <c r="N581" i="15" s="1"/>
  <c r="M581" i="15" a="1"/>
  <c r="M581" i="15" s="1"/>
  <c r="K581" i="15" a="1"/>
  <c r="K581" i="15" s="1"/>
  <c r="L581" i="15" a="1"/>
  <c r="L581" i="15" s="1"/>
  <c r="DE45" i="4"/>
  <c r="AE20" i="27"/>
  <c r="Z39" i="4"/>
  <c r="AV1236" i="13" s="1"/>
  <c r="Z28" i="4"/>
  <c r="AV1225" i="13" s="1"/>
  <c r="AD42" i="4"/>
  <c r="F42" i="69" s="1"/>
  <c r="AL71" i="4"/>
  <c r="I71" i="69" s="1"/>
  <c r="AL38" i="4"/>
  <c r="I38" i="69" s="1"/>
  <c r="AL39" i="4"/>
  <c r="I39" i="72" s="1"/>
  <c r="AH31" i="4"/>
  <c r="AV1327" i="13" s="1"/>
  <c r="AH35" i="4"/>
  <c r="AV1331" i="13" s="1"/>
  <c r="Z24" i="4"/>
  <c r="AV1221" i="13" s="1"/>
  <c r="AH25" i="4"/>
  <c r="AV1321" i="13" s="1"/>
  <c r="AL21" i="4"/>
  <c r="I21" i="72" s="1"/>
  <c r="Z47" i="4"/>
  <c r="AV1244" i="13" s="1"/>
  <c r="Z82" i="4"/>
  <c r="AV1279" i="13" s="1"/>
  <c r="Z8" i="4"/>
  <c r="AV1205" i="13" s="1"/>
  <c r="AD43" i="4"/>
  <c r="F43" i="69" s="1"/>
  <c r="AL46" i="4"/>
  <c r="I46" i="69" s="1"/>
  <c r="AL18" i="4"/>
  <c r="I18" i="69" s="1"/>
  <c r="AH8" i="4"/>
  <c r="AV1304" i="13" s="1"/>
  <c r="AD77" i="4"/>
  <c r="F77" i="69" s="1"/>
  <c r="AL66" i="4"/>
  <c r="I66" i="72" s="1"/>
  <c r="AH21" i="4"/>
  <c r="AV1317" i="13" s="1"/>
  <c r="X48" i="72"/>
  <c r="X48" i="69"/>
  <c r="X45" i="69"/>
  <c r="X45" i="72"/>
  <c r="X74" i="69"/>
  <c r="X74" i="72"/>
  <c r="X44" i="69"/>
  <c r="X44" i="72"/>
  <c r="BF10" i="4"/>
  <c r="X28" i="72"/>
  <c r="X28" i="69"/>
  <c r="BO23" i="4"/>
  <c r="G23" i="4"/>
  <c r="B55" i="1" a="1"/>
  <c r="BI80" i="4" a="1"/>
  <c r="BJ80" i="4" a="1"/>
  <c r="BK80" i="4" a="1"/>
  <c r="DF80" i="4" a="1"/>
  <c r="BJ66" i="4" a="1"/>
  <c r="BI66" i="4" a="1"/>
  <c r="BK66" i="4" a="1"/>
  <c r="DF66" i="4" a="1"/>
  <c r="DF61" i="4" a="1"/>
  <c r="BJ61" i="4" a="1"/>
  <c r="BK61" i="4" a="1"/>
  <c r="BI61" i="4" a="1"/>
  <c r="DF65" i="4" a="1"/>
  <c r="BK65" i="4" a="1"/>
  <c r="BI65" i="4" a="1"/>
  <c r="BJ65" i="4" a="1"/>
  <c r="BJ86" i="4" a="1"/>
  <c r="BK86" i="4" a="1"/>
  <c r="DF86" i="4" a="1"/>
  <c r="BI86" i="4" a="1"/>
  <c r="BK67" i="4" a="1"/>
  <c r="DF67" i="4" a="1"/>
  <c r="BI67" i="4" a="1"/>
  <c r="BJ67" i="4" a="1"/>
  <c r="DF92" i="4" a="1"/>
  <c r="BI92" i="4" a="1"/>
  <c r="BJ92" i="4" a="1"/>
  <c r="BK92" i="4" a="1"/>
  <c r="BK72" i="4" a="1"/>
  <c r="DF72" i="4" a="1"/>
  <c r="BJ72" i="4" a="1"/>
  <c r="BI72" i="4" a="1"/>
  <c r="DF70" i="4" a="1"/>
  <c r="BK70" i="4" a="1"/>
  <c r="BJ70" i="4" a="1"/>
  <c r="BI70" i="4" a="1"/>
  <c r="BI63" i="4" a="1"/>
  <c r="BK63" i="4" a="1"/>
  <c r="DF63" i="4" a="1"/>
  <c r="BJ63" i="4" a="1"/>
  <c r="DF60" i="4" a="1"/>
  <c r="BK60" i="4" a="1"/>
  <c r="BJ60" i="4" a="1"/>
  <c r="BI60" i="4" a="1"/>
  <c r="BJ68" i="4" a="1"/>
  <c r="BI68" i="4" a="1"/>
  <c r="BK68" i="4" a="1"/>
  <c r="DF68" i="4" a="1"/>
  <c r="BJ57" i="4" a="1"/>
  <c r="BK57" i="4" a="1"/>
  <c r="DF57" i="4" a="1"/>
  <c r="BI57" i="4" a="1"/>
  <c r="BI64" i="4" a="1"/>
  <c r="BJ64" i="4" a="1"/>
  <c r="BK64" i="4" a="1"/>
  <c r="DF64" i="4" a="1"/>
  <c r="DF87" i="4" a="1"/>
  <c r="BK87" i="4" a="1"/>
  <c r="BI87" i="4" a="1"/>
  <c r="BJ87" i="4" a="1"/>
  <c r="BI84" i="4" a="1"/>
  <c r="BJ84" i="4" a="1"/>
  <c r="DF84" i="4" a="1"/>
  <c r="BK84" i="4" a="1"/>
  <c r="BJ85" i="4" a="1"/>
  <c r="BK85" i="4" a="1"/>
  <c r="DF85" i="4" a="1"/>
  <c r="BI85" i="4" a="1"/>
  <c r="BI75" i="4" a="1"/>
  <c r="DF75" i="4" a="1"/>
  <c r="BJ75" i="4" a="1"/>
  <c r="BK75" i="4" a="1"/>
  <c r="DF73" i="4" a="1"/>
  <c r="BJ73" i="4" a="1"/>
  <c r="BI73" i="4" a="1"/>
  <c r="BK73" i="4" a="1"/>
  <c r="BJ77" i="4" a="1"/>
  <c r="BK77" i="4" a="1"/>
  <c r="BI77" i="4" a="1"/>
  <c r="DF77" i="4" a="1"/>
  <c r="BJ81" i="4" a="1"/>
  <c r="BK81" i="4" a="1"/>
  <c r="BI81" i="4" a="1"/>
  <c r="DF81" i="4" a="1"/>
  <c r="BK90" i="4" a="1"/>
  <c r="BI90" i="4" a="1"/>
  <c r="DF90" i="4" a="1"/>
  <c r="BJ90" i="4" a="1"/>
  <c r="BJ76" i="4" a="1"/>
  <c r="BI76" i="4" a="1"/>
  <c r="DF76" i="4" a="1"/>
  <c r="BK76" i="4" a="1"/>
  <c r="BK58" i="4" a="1"/>
  <c r="BI58" i="4" a="1"/>
  <c r="DF58" i="4" a="1"/>
  <c r="BJ58" i="4" a="1"/>
  <c r="BI62" i="4" a="1"/>
  <c r="BK62" i="4" a="1"/>
  <c r="DF62" i="4" a="1"/>
  <c r="BJ62" i="4" a="1"/>
  <c r="BI94" i="4" a="1"/>
  <c r="DF94" i="4" a="1"/>
  <c r="BJ94" i="4" a="1"/>
  <c r="BK94" i="4" a="1"/>
  <c r="BJ23" i="4" a="1"/>
  <c r="BI23" i="4" a="1"/>
  <c r="DF23" i="4" a="1"/>
  <c r="BK23" i="4" a="1"/>
  <c r="BJ93" i="4" a="1"/>
  <c r="BI93" i="4" a="1"/>
  <c r="DF93" i="4" a="1"/>
  <c r="BK93" i="4" a="1"/>
  <c r="DF83" i="4" a="1"/>
  <c r="BK83" i="4" a="1"/>
  <c r="BI83" i="4" a="1"/>
  <c r="BJ83" i="4" a="1"/>
  <c r="BJ78" i="4" a="1"/>
  <c r="BK78" i="4" a="1"/>
  <c r="BI78" i="4" a="1"/>
  <c r="DF78" i="4" a="1"/>
  <c r="AB55" i="4" a="1"/>
  <c r="AA55" i="4" a="1"/>
  <c r="BJ88" i="4" a="1"/>
  <c r="DF88" i="4" a="1"/>
  <c r="BK88" i="4" a="1"/>
  <c r="BI88" i="4" a="1"/>
  <c r="BJ89" i="4" a="1"/>
  <c r="BK89" i="4" a="1"/>
  <c r="DF89" i="4" a="1"/>
  <c r="BI89" i="4" a="1"/>
  <c r="BJ71" i="4" a="1"/>
  <c r="BI71" i="4" a="1"/>
  <c r="DF71" i="4" a="1"/>
  <c r="BK71" i="4" a="1"/>
  <c r="BI74" i="4" a="1"/>
  <c r="DF74" i="4" a="1"/>
  <c r="BK74" i="4" a="1"/>
  <c r="BJ74" i="4" a="1"/>
  <c r="BI69" i="4" a="1"/>
  <c r="BJ69" i="4" a="1"/>
  <c r="BK69" i="4" a="1"/>
  <c r="DF69" i="4" a="1"/>
  <c r="AG55" i="4" a="1"/>
  <c r="AF55" i="4" a="1"/>
  <c r="BK96" i="4" a="1"/>
  <c r="DF96" i="4" a="1"/>
  <c r="BJ96" i="4" a="1"/>
  <c r="BI96" i="4" a="1"/>
  <c r="BI82" i="4" a="1"/>
  <c r="DF82" i="4" a="1"/>
  <c r="BK82" i="4" a="1"/>
  <c r="BJ82" i="4" a="1"/>
  <c r="DF56" i="4" a="1"/>
  <c r="BK56" i="4" a="1"/>
  <c r="BJ56" i="4" a="1"/>
  <c r="BI56" i="4" a="1"/>
  <c r="BK59" i="4" a="1"/>
  <c r="BI59" i="4" a="1"/>
  <c r="DF59" i="4" a="1"/>
  <c r="BJ59" i="4" a="1"/>
  <c r="AO55" i="4" a="1"/>
  <c r="AN55" i="4" a="1"/>
  <c r="AJ55" i="4" a="1"/>
  <c r="AI55" i="4" a="1"/>
  <c r="BJ95" i="4" a="1"/>
  <c r="BI95" i="4" a="1"/>
  <c r="BK95" i="4" a="1"/>
  <c r="DF95" i="4" a="1"/>
  <c r="M509" i="15" l="1" a="1"/>
  <c r="M509" i="15" s="1"/>
  <c r="DD26" i="4" a="1"/>
  <c r="DD26" i="4" s="1"/>
  <c r="DD25" i="4" a="1"/>
  <c r="DD25" i="4" s="1"/>
  <c r="J94" i="69"/>
  <c r="E650" i="15"/>
  <c r="T96" i="72"/>
  <c r="BS96" i="72" s="1"/>
  <c r="L646" i="15" a="1"/>
  <c r="L646" i="15" s="1"/>
  <c r="H653" i="15" a="1"/>
  <c r="H653" i="15" s="1"/>
  <c r="F653" i="15" a="1"/>
  <c r="F653" i="15" s="1"/>
  <c r="K653" i="15" a="1"/>
  <c r="K653" i="15" s="1"/>
  <c r="L653" i="15" a="1"/>
  <c r="L653" i="15" s="1"/>
  <c r="M653" i="15" a="1"/>
  <c r="M653" i="15" s="1"/>
  <c r="N653" i="15" a="1"/>
  <c r="N653" i="15" s="1"/>
  <c r="I3" i="15" a="1"/>
  <c r="I3" i="15" s="1"/>
  <c r="E153" i="15"/>
  <c r="P88" i="9"/>
  <c r="BD44" i="4"/>
  <c r="N478" i="15" a="1"/>
  <c r="N478" i="15" s="1"/>
  <c r="BF25" i="4"/>
  <c r="F307" i="15" a="1"/>
  <c r="F307" i="15" s="1"/>
  <c r="I307" i="15" s="1" a="1"/>
  <c r="I307" i="15" s="1"/>
  <c r="L478" i="15" a="1"/>
  <c r="L478" i="15" s="1"/>
  <c r="E521" i="15"/>
  <c r="L650" i="15" a="1"/>
  <c r="L650" i="15" s="1"/>
  <c r="M650" i="15" a="1"/>
  <c r="M650" i="15" s="1"/>
  <c r="N650" i="15" a="1"/>
  <c r="N650" i="15" s="1"/>
  <c r="K650" i="15" a="1"/>
  <c r="K650" i="15" s="1"/>
  <c r="F650" i="15" a="1"/>
  <c r="F650" i="15" s="1"/>
  <c r="H650" i="15" a="1"/>
  <c r="H650" i="15" s="1"/>
  <c r="U16" i="27" a="1"/>
  <c r="U16" i="27" s="1"/>
  <c r="F268" i="15" a="1"/>
  <c r="F268" i="15" s="1"/>
  <c r="I268" i="15" s="1" a="1"/>
  <c r="I268" i="15" s="1"/>
  <c r="H578" i="15" a="1"/>
  <c r="H578" i="15" s="1"/>
  <c r="H368" i="15" a="1"/>
  <c r="H368" i="15" s="1"/>
  <c r="DD35" i="4" a="1"/>
  <c r="DD35" i="4" s="1"/>
  <c r="DD24" i="4" a="1"/>
  <c r="DD24" i="4" s="1"/>
  <c r="I486" i="15" a="1"/>
  <c r="I486" i="15" s="1"/>
  <c r="F421" i="15" a="1"/>
  <c r="F421" i="15" s="1"/>
  <c r="F269" i="15" a="1"/>
  <c r="F269" i="15" s="1"/>
  <c r="H436" i="15" a="1"/>
  <c r="H436" i="15" s="1"/>
  <c r="F436" i="15" a="1"/>
  <c r="F436" i="15" s="1"/>
  <c r="F295" i="15" a="1"/>
  <c r="F295" i="15" s="1"/>
  <c r="F478" i="15" a="1"/>
  <c r="F478" i="15" s="1"/>
  <c r="F397" i="15" a="1"/>
  <c r="F397" i="15" s="1"/>
  <c r="F413" i="15" a="1"/>
  <c r="F413" i="15" s="1"/>
  <c r="H413" i="15" a="1"/>
  <c r="H413" i="15" s="1"/>
  <c r="F438" i="15" a="1"/>
  <c r="F438" i="15" s="1"/>
  <c r="F249" i="15" a="1"/>
  <c r="F249" i="15" s="1"/>
  <c r="F468" i="15" a="1"/>
  <c r="F468" i="15" s="1"/>
  <c r="F497" i="15" a="1"/>
  <c r="F497" i="15" s="1"/>
  <c r="F598" i="15" a="1"/>
  <c r="F598" i="15" s="1"/>
  <c r="F526" i="15" a="1"/>
  <c r="F526" i="15" s="1"/>
  <c r="F629" i="15" a="1"/>
  <c r="F629" i="15" s="1"/>
  <c r="H629" i="15" a="1"/>
  <c r="H629" i="15" s="1"/>
  <c r="F354" i="15" a="1"/>
  <c r="F354" i="15" s="1"/>
  <c r="H457" i="15" a="1"/>
  <c r="H457" i="15" s="1"/>
  <c r="F457" i="15" a="1"/>
  <c r="F457" i="15" s="1"/>
  <c r="H307" i="15" a="1"/>
  <c r="H307" i="15" s="1"/>
  <c r="F578" i="15" a="1"/>
  <c r="F578" i="15" s="1"/>
  <c r="F471" i="15" a="1"/>
  <c r="F471" i="15" s="1"/>
  <c r="F512" i="15" a="1"/>
  <c r="F512" i="15" s="1"/>
  <c r="F536" i="15" a="1"/>
  <c r="F536" i="15" s="1"/>
  <c r="F398" i="15" a="1"/>
  <c r="F398" i="15" s="1"/>
  <c r="F396" i="15" a="1"/>
  <c r="F396" i="15" s="1"/>
  <c r="L535" i="15" a="1"/>
  <c r="L535" i="15" s="1"/>
  <c r="F535" i="15" a="1"/>
  <c r="F535" i="15" s="1"/>
  <c r="F304" i="15" a="1"/>
  <c r="F304" i="15" s="1"/>
  <c r="F373" i="15" a="1"/>
  <c r="F373" i="15" s="1"/>
  <c r="F494" i="15" a="1"/>
  <c r="F494" i="15" s="1"/>
  <c r="F310" i="15" a="1"/>
  <c r="F310" i="15" s="1"/>
  <c r="H310" i="15" a="1"/>
  <c r="H310" i="15" s="1"/>
  <c r="K615" i="15" a="1"/>
  <c r="K615" i="15" s="1"/>
  <c r="H615" i="15" a="1"/>
  <c r="H615" i="15" s="1"/>
  <c r="F615" i="15" a="1"/>
  <c r="F615" i="15" s="1"/>
  <c r="F452" i="15" a="1"/>
  <c r="F452" i="15" s="1"/>
  <c r="H452" i="15" a="1"/>
  <c r="H452" i="15" s="1"/>
  <c r="K588" i="15" a="1"/>
  <c r="K588" i="15" s="1"/>
  <c r="F623" i="15" a="1"/>
  <c r="F623" i="15" s="1"/>
  <c r="H623" i="15" a="1"/>
  <c r="H623" i="15" s="1"/>
  <c r="F404" i="15" a="1"/>
  <c r="F404" i="15" s="1"/>
  <c r="H634" i="15" a="1"/>
  <c r="H634" i="15" s="1"/>
  <c r="F634" i="15" a="1"/>
  <c r="F634" i="15" s="1"/>
  <c r="F646" i="15" a="1"/>
  <c r="F646" i="15" s="1"/>
  <c r="H646" i="15" a="1"/>
  <c r="H646" i="15" s="1"/>
  <c r="F583" i="15" a="1"/>
  <c r="F583" i="15" s="1"/>
  <c r="F472" i="15" a="1"/>
  <c r="F472" i="15" s="1"/>
  <c r="F422" i="15" a="1"/>
  <c r="F422" i="15" s="1"/>
  <c r="F257" i="15" a="1"/>
  <c r="F257" i="15" s="1"/>
  <c r="F256" i="15" a="1"/>
  <c r="F256" i="15" s="1"/>
  <c r="F445" i="15" a="1"/>
  <c r="F445" i="15" s="1"/>
  <c r="F337" i="15" a="1"/>
  <c r="F337" i="15" s="1"/>
  <c r="F498" i="15" a="1"/>
  <c r="F498" i="15" s="1"/>
  <c r="L625" i="15" a="1"/>
  <c r="L625" i="15" s="1"/>
  <c r="H625" i="15" a="1"/>
  <c r="H625" i="15" s="1"/>
  <c r="F625" i="15" a="1"/>
  <c r="F625" i="15" s="1"/>
  <c r="M620" i="15" a="1"/>
  <c r="M620" i="15" s="1"/>
  <c r="F620" i="15" a="1"/>
  <c r="F620" i="15" s="1"/>
  <c r="H620" i="15" a="1"/>
  <c r="H620" i="15" s="1"/>
  <c r="F464" i="15" a="1"/>
  <c r="F464" i="15" s="1"/>
  <c r="H464" i="15" a="1"/>
  <c r="H464" i="15" s="1"/>
  <c r="F443" i="15" a="1"/>
  <c r="F443" i="15" s="1"/>
  <c r="F402" i="15" a="1"/>
  <c r="F402" i="15" s="1"/>
  <c r="H402" i="15" a="1"/>
  <c r="H402" i="15" s="1"/>
  <c r="F573" i="15" a="1"/>
  <c r="F573" i="15" s="1"/>
  <c r="H573" i="15" a="1"/>
  <c r="H573" i="15" s="1"/>
  <c r="F247" i="15" a="1"/>
  <c r="F247" i="15" s="1"/>
  <c r="F641" i="15" a="1"/>
  <c r="F641" i="15" s="1"/>
  <c r="H641" i="15" a="1"/>
  <c r="H641" i="15" s="1"/>
  <c r="H571" i="15" a="1"/>
  <c r="H571" i="15" s="1"/>
  <c r="F571" i="15" a="1"/>
  <c r="F571" i="15" s="1"/>
  <c r="F480" i="15" a="1"/>
  <c r="F480" i="15" s="1"/>
  <c r="F448" i="15" a="1"/>
  <c r="F448" i="15" s="1"/>
  <c r="H448" i="15" a="1"/>
  <c r="H448" i="15" s="1"/>
  <c r="F274" i="15" a="1"/>
  <c r="F274" i="15" s="1"/>
  <c r="F395" i="15" a="1"/>
  <c r="F395" i="15" s="1"/>
  <c r="F613" i="15" a="1"/>
  <c r="F613" i="15" s="1"/>
  <c r="H613" i="15" a="1"/>
  <c r="H613" i="15" s="1"/>
  <c r="F267" i="15" a="1"/>
  <c r="F267" i="15" s="1"/>
  <c r="F259" i="15" a="1"/>
  <c r="F259" i="15" s="1"/>
  <c r="F488" i="15" a="1"/>
  <c r="F488" i="15" s="1"/>
  <c r="DD44" i="4" a="1"/>
  <c r="DD44" i="4" s="1"/>
  <c r="DD34" i="4" a="1"/>
  <c r="DD34" i="4" s="1"/>
  <c r="F538" i="15" a="1"/>
  <c r="F538" i="15" s="1"/>
  <c r="F441" i="15" a="1"/>
  <c r="F441" i="15" s="1"/>
  <c r="F419" i="15" a="1"/>
  <c r="F419" i="15" s="1"/>
  <c r="F375" i="15" a="1"/>
  <c r="F375" i="15" s="1"/>
  <c r="I368" i="15" a="1"/>
  <c r="I368" i="15" s="1"/>
  <c r="F367" i="15" a="1"/>
  <c r="F367" i="15" s="1"/>
  <c r="H367" i="15" a="1"/>
  <c r="H367" i="15" s="1"/>
  <c r="F258" i="15" a="1"/>
  <c r="F258" i="15" s="1"/>
  <c r="F648" i="15" a="1"/>
  <c r="F648" i="15" s="1"/>
  <c r="H648" i="15" a="1"/>
  <c r="H648" i="15" s="1"/>
  <c r="F369" i="15" a="1"/>
  <c r="F369" i="15" s="1"/>
  <c r="H369" i="15" a="1"/>
  <c r="H369" i="15" s="1"/>
  <c r="F581" i="15" a="1"/>
  <c r="F581" i="15" s="1"/>
  <c r="H581" i="15" a="1"/>
  <c r="H581" i="15" s="1"/>
  <c r="K519" i="15" a="1"/>
  <c r="K519" i="15" s="1"/>
  <c r="M632" i="15" a="1"/>
  <c r="M632" i="15" s="1"/>
  <c r="H632" i="15" a="1"/>
  <c r="H632" i="15" s="1"/>
  <c r="F632" i="15" a="1"/>
  <c r="F632" i="15" s="1"/>
  <c r="F574" i="15" a="1"/>
  <c r="F574" i="15" s="1"/>
  <c r="H574" i="15" a="1"/>
  <c r="H574" i="15" s="1"/>
  <c r="F440" i="15" a="1"/>
  <c r="F440" i="15" s="1"/>
  <c r="F628" i="15" a="1"/>
  <c r="F628" i="15" s="1"/>
  <c r="H628" i="15" a="1"/>
  <c r="H628" i="15" s="1"/>
  <c r="F465" i="15" a="1"/>
  <c r="F465" i="15" s="1"/>
  <c r="H465" i="15" a="1"/>
  <c r="H465" i="15" s="1"/>
  <c r="I358" i="15" a="1"/>
  <c r="I358" i="15" s="1"/>
  <c r="F461" i="15" a="1"/>
  <c r="F461" i="15" s="1"/>
  <c r="H461" i="15" a="1"/>
  <c r="H461" i="15" s="1"/>
  <c r="F336" i="15" a="1"/>
  <c r="F336" i="15" s="1"/>
  <c r="F482" i="15" a="1"/>
  <c r="F482" i="15" s="1"/>
  <c r="F360" i="15" a="1"/>
  <c r="F360" i="15" s="1"/>
  <c r="F442" i="15" a="1"/>
  <c r="F442" i="15" s="1"/>
  <c r="P11" i="9"/>
  <c r="D57" i="14"/>
  <c r="C57" i="14"/>
  <c r="Z58" i="23" a="1"/>
  <c r="Z58" i="23" s="1"/>
  <c r="BQ94" i="69"/>
  <c r="M96" i="69"/>
  <c r="F54" i="72"/>
  <c r="M512" i="15" a="1"/>
  <c r="M512" i="15" s="1"/>
  <c r="N516" i="15" a="1"/>
  <c r="N516" i="15" s="1"/>
  <c r="N554" i="15" a="1"/>
  <c r="N554" i="15" s="1"/>
  <c r="K494" i="15" a="1"/>
  <c r="K494" i="15" s="1"/>
  <c r="L512" i="15" a="1"/>
  <c r="L512" i="15" s="1"/>
  <c r="K536" i="15" a="1"/>
  <c r="K536" i="15" s="1"/>
  <c r="N588" i="15" a="1"/>
  <c r="N588" i="15" s="1"/>
  <c r="M588" i="15" a="1"/>
  <c r="M588" i="15" s="1"/>
  <c r="N494" i="15" a="1"/>
  <c r="N494" i="15" s="1"/>
  <c r="N536" i="15" a="1"/>
  <c r="N536" i="15" s="1"/>
  <c r="M498" i="15" a="1"/>
  <c r="M498" i="15" s="1"/>
  <c r="N512" i="15" a="1"/>
  <c r="N512" i="15" s="1"/>
  <c r="AP86" i="4"/>
  <c r="AV388" i="13" s="1"/>
  <c r="AV488" i="13" s="1"/>
  <c r="E23" i="4"/>
  <c r="L480" i="15" a="1"/>
  <c r="L480" i="15" s="1"/>
  <c r="E222" i="15"/>
  <c r="K583" i="15" a="1"/>
  <c r="K583" i="15" s="1"/>
  <c r="DA64" i="4" a="1"/>
  <c r="DA64" i="4" s="1"/>
  <c r="BF47" i="4"/>
  <c r="F82" i="4"/>
  <c r="DA63" i="4" a="1"/>
  <c r="DA63" i="4" s="1"/>
  <c r="BT5" i="4"/>
  <c r="Z93" i="4"/>
  <c r="AV1290" i="13" s="1"/>
  <c r="DD31" i="4" a="1"/>
  <c r="DD31" i="4" s="1"/>
  <c r="M646" i="15" a="1"/>
  <c r="M646" i="15" s="1"/>
  <c r="K538" i="15" a="1"/>
  <c r="K538" i="15" s="1"/>
  <c r="BR18" i="4"/>
  <c r="P40" i="9"/>
  <c r="K646" i="15" a="1"/>
  <c r="K646" i="15" s="1"/>
  <c r="M538" i="15" a="1"/>
  <c r="M538" i="15" s="1"/>
  <c r="BF46" i="4"/>
  <c r="CW95" i="4"/>
  <c r="CX95" i="4" s="1"/>
  <c r="AL95" i="4"/>
  <c r="AH93" i="4"/>
  <c r="AV1389" i="13" s="1"/>
  <c r="E58" i="15"/>
  <c r="BD21" i="4"/>
  <c r="CW63" i="4"/>
  <c r="CX63" i="4" s="1"/>
  <c r="N646" i="15" a="1"/>
  <c r="N646" i="15" s="1"/>
  <c r="L494" i="15" a="1"/>
  <c r="L494" i="15" s="1"/>
  <c r="M94" i="69"/>
  <c r="F20" i="72"/>
  <c r="Z68" i="4"/>
  <c r="AV1265" i="13" s="1"/>
  <c r="M480" i="15" a="1"/>
  <c r="M480" i="15" s="1"/>
  <c r="FE16" i="71"/>
  <c r="FE28" i="71"/>
  <c r="AP82" i="4"/>
  <c r="AV384" i="13" s="1"/>
  <c r="AV484" i="13" s="1"/>
  <c r="BF13" i="4"/>
  <c r="FE19" i="71"/>
  <c r="FE5" i="71"/>
  <c r="AD93" i="4"/>
  <c r="F93" i="69" s="1"/>
  <c r="BF5" i="4"/>
  <c r="FE17" i="71"/>
  <c r="BF42" i="4"/>
  <c r="E81" i="15"/>
  <c r="AL76" i="4"/>
  <c r="I76" i="72" s="1"/>
  <c r="P61" i="9"/>
  <c r="L536" i="15" a="1"/>
  <c r="L536" i="15" s="1"/>
  <c r="AL74" i="4"/>
  <c r="I74" i="72" s="1"/>
  <c r="L538" i="15" a="1"/>
  <c r="L538" i="15" s="1"/>
  <c r="I50" i="72"/>
  <c r="AH76" i="4"/>
  <c r="AV1372" i="13" s="1"/>
  <c r="AH74" i="4"/>
  <c r="AV1370" i="13" s="1"/>
  <c r="N538" i="15" a="1"/>
  <c r="N538" i="15" s="1"/>
  <c r="CW58" i="4"/>
  <c r="CX58" i="4" s="1"/>
  <c r="BD24" i="4"/>
  <c r="AD63" i="4"/>
  <c r="F63" i="72" s="1"/>
  <c r="AS55" i="4"/>
  <c r="AV657" i="13" s="1"/>
  <c r="L598" i="15" a="1"/>
  <c r="L598" i="15" s="1"/>
  <c r="AH68" i="4"/>
  <c r="AV1364" i="13" s="1"/>
  <c r="N549" i="15" a="1"/>
  <c r="N549" i="15" s="1"/>
  <c r="Z67" i="4"/>
  <c r="AV1264" i="13" s="1"/>
  <c r="M536" i="15" a="1"/>
  <c r="M536" i="15" s="1"/>
  <c r="P21" i="9"/>
  <c r="AD56" i="4"/>
  <c r="F56" i="72" s="1"/>
  <c r="CW60" i="4"/>
  <c r="CX60" i="4" s="1"/>
  <c r="BR10" i="4"/>
  <c r="AD10" i="69" s="1"/>
  <c r="AH57" i="4"/>
  <c r="AV1353" i="13" s="1"/>
  <c r="E479" i="15"/>
  <c r="Z74" i="4"/>
  <c r="AV1271" i="13" s="1"/>
  <c r="BD7" i="4"/>
  <c r="BH94" i="72"/>
  <c r="P37" i="9"/>
  <c r="F19" i="27"/>
  <c r="I73" i="72"/>
  <c r="P29" i="9"/>
  <c r="P22" i="9"/>
  <c r="P6" i="9"/>
  <c r="AF20" i="27"/>
  <c r="AJ22" i="27"/>
  <c r="AI22" i="27"/>
  <c r="AE96" i="69" a="1"/>
  <c r="AE96" i="69" s="1"/>
  <c r="AS96" i="69" s="1" a="1"/>
  <c r="AS96" i="69" s="1"/>
  <c r="X27" i="4"/>
  <c r="F87" i="69"/>
  <c r="P46" i="9"/>
  <c r="P63" i="9"/>
  <c r="P48" i="9"/>
  <c r="P60" i="9"/>
  <c r="P52" i="9"/>
  <c r="P30" i="9"/>
  <c r="X50" i="4"/>
  <c r="C58" i="14"/>
  <c r="F22" i="72"/>
  <c r="M96" i="72"/>
  <c r="BR7" i="4"/>
  <c r="T96" i="69"/>
  <c r="BN96" i="69" s="1"/>
  <c r="T94" i="72"/>
  <c r="BS94" i="72" s="1"/>
  <c r="BH95" i="72"/>
  <c r="DA60" i="4" a="1"/>
  <c r="DA60" i="4" s="1"/>
  <c r="I79" i="72"/>
  <c r="F45" i="69"/>
  <c r="F13" i="69"/>
  <c r="I7" i="72"/>
  <c r="F28" i="72"/>
  <c r="AT94" i="69" a="1"/>
  <c r="AT94" i="69" s="1"/>
  <c r="F70" i="69"/>
  <c r="AM94" i="69"/>
  <c r="X91" i="4"/>
  <c r="E58" i="72"/>
  <c r="I37" i="72"/>
  <c r="F26" i="72"/>
  <c r="F14" i="72"/>
  <c r="I88" i="69"/>
  <c r="F91" i="69"/>
  <c r="F39" i="72"/>
  <c r="F31" i="72"/>
  <c r="M94" i="72"/>
  <c r="I48" i="69"/>
  <c r="AH78" i="4"/>
  <c r="AV1374" i="13" s="1"/>
  <c r="L634" i="15" a="1"/>
  <c r="L634" i="15" s="1"/>
  <c r="P93" i="9"/>
  <c r="I51" i="72"/>
  <c r="Z63" i="4"/>
  <c r="AV1260" i="13" s="1"/>
  <c r="J95" i="69"/>
  <c r="N540" i="15" a="1"/>
  <c r="N540" i="15" s="1"/>
  <c r="I22" i="72"/>
  <c r="AP70" i="4"/>
  <c r="AV372" i="13" s="1"/>
  <c r="AV472" i="13" s="1"/>
  <c r="BD52" i="4"/>
  <c r="BR52" i="4" s="1"/>
  <c r="I70" i="72"/>
  <c r="AD78" i="4"/>
  <c r="F78" i="69" s="1"/>
  <c r="AL69" i="4"/>
  <c r="I69" i="69" s="1"/>
  <c r="DA68" i="4" a="1"/>
  <c r="DA68" i="4" s="1"/>
  <c r="F53" i="69"/>
  <c r="AL57" i="4"/>
  <c r="I57" i="72" s="1"/>
  <c r="HD37" i="71"/>
  <c r="F70" i="4"/>
  <c r="F8" i="72"/>
  <c r="AL68" i="4"/>
  <c r="I47" i="72"/>
  <c r="P55" i="9"/>
  <c r="P62" i="9"/>
  <c r="AM94" i="72"/>
  <c r="FE6" i="71"/>
  <c r="AD89" i="4"/>
  <c r="F89" i="69" s="1"/>
  <c r="DA89" i="4" a="1"/>
  <c r="DA89" i="4" s="1"/>
  <c r="N480" i="15" a="1"/>
  <c r="N480" i="15" s="1"/>
  <c r="CW56" i="4"/>
  <c r="CX56" i="4" s="1"/>
  <c r="AH56" i="4"/>
  <c r="AV1352" i="13" s="1"/>
  <c r="AH59" i="4"/>
  <c r="AV1355" i="13" s="1"/>
  <c r="I52" i="72"/>
  <c r="M549" i="15" a="1"/>
  <c r="M549" i="15" s="1"/>
  <c r="IQ37" i="71"/>
  <c r="Z59" i="4"/>
  <c r="AV1256" i="13" s="1"/>
  <c r="K549" i="15" a="1"/>
  <c r="K549" i="15" s="1"/>
  <c r="P74" i="9"/>
  <c r="P72" i="9"/>
  <c r="DA70" i="4" a="1"/>
  <c r="DA70" i="4" s="1"/>
  <c r="DA23" i="4" a="1"/>
  <c r="DA23" i="4" s="1"/>
  <c r="AH63" i="4"/>
  <c r="AV1359" i="13" s="1"/>
  <c r="F48" i="72"/>
  <c r="AH89" i="4"/>
  <c r="AV1385" i="13" s="1"/>
  <c r="I6" i="69"/>
  <c r="I43" i="72"/>
  <c r="P26" i="9"/>
  <c r="FE29" i="71"/>
  <c r="CW62" i="4"/>
  <c r="CX62" i="4" s="1"/>
  <c r="F120" i="15" a="1"/>
  <c r="F120" i="15" s="1"/>
  <c r="I120" i="15" s="1" a="1"/>
  <c r="I120" i="15" s="1"/>
  <c r="FE10" i="71"/>
  <c r="BD54" i="4"/>
  <c r="I77" i="69"/>
  <c r="L571" i="15" a="1"/>
  <c r="L571" i="15" s="1"/>
  <c r="P68" i="9"/>
  <c r="HA37" i="71"/>
  <c r="G14" i="27"/>
  <c r="BD41" i="4"/>
  <c r="BR41" i="4" s="1"/>
  <c r="M95" i="69"/>
  <c r="CW23" i="4"/>
  <c r="CX23" i="4" s="1"/>
  <c r="F72" i="69"/>
  <c r="I33" i="69"/>
  <c r="I29" i="72"/>
  <c r="I17" i="72"/>
  <c r="F36" i="72"/>
  <c r="I16" i="72"/>
  <c r="F84" i="69"/>
  <c r="F47" i="72"/>
  <c r="E58" i="69"/>
  <c r="AE58" i="69" a="1"/>
  <c r="AE58" i="69" s="1"/>
  <c r="AH58" i="69" s="1" a="1"/>
  <c r="AH58" i="69" s="1"/>
  <c r="BR8" i="4"/>
  <c r="I91" i="72"/>
  <c r="F81" i="69"/>
  <c r="F17" i="69"/>
  <c r="I93" i="69"/>
  <c r="F25" i="72"/>
  <c r="F27" i="72"/>
  <c r="AE95" i="69" a="1"/>
  <c r="AE95" i="69" s="1"/>
  <c r="AP95" i="69" s="1" a="1"/>
  <c r="AP95" i="69" s="1"/>
  <c r="F66" i="69"/>
  <c r="F90" i="72"/>
  <c r="F32" i="69"/>
  <c r="AH58" i="72"/>
  <c r="BC96" i="69"/>
  <c r="F7" i="72"/>
  <c r="F6" i="72"/>
  <c r="F64" i="72"/>
  <c r="F73" i="69"/>
  <c r="F16" i="69"/>
  <c r="F18" i="69"/>
  <c r="I36" i="72"/>
  <c r="I87" i="72"/>
  <c r="I45" i="72"/>
  <c r="F51" i="72"/>
  <c r="I30" i="72"/>
  <c r="AT95" i="69" a="1"/>
  <c r="AT95" i="69" s="1"/>
  <c r="BH58" i="72"/>
  <c r="DF95" i="4"/>
  <c r="BK95" i="4"/>
  <c r="BI95" i="4"/>
  <c r="BJ95" i="4"/>
  <c r="AI55" i="4"/>
  <c r="AJ55" i="4"/>
  <c r="AN55" i="4"/>
  <c r="AO55" i="4"/>
  <c r="BJ59" i="4"/>
  <c r="DF59" i="4"/>
  <c r="BI59" i="4"/>
  <c r="BK59" i="4"/>
  <c r="BI56" i="4"/>
  <c r="BJ56" i="4"/>
  <c r="BK56" i="4"/>
  <c r="DF56" i="4"/>
  <c r="BJ82" i="4"/>
  <c r="BK82" i="4"/>
  <c r="DF82" i="4"/>
  <c r="BI82" i="4"/>
  <c r="BI96" i="4"/>
  <c r="BJ96" i="4"/>
  <c r="DF96" i="4"/>
  <c r="BK96" i="4"/>
  <c r="AF55" i="4"/>
  <c r="AG55" i="4"/>
  <c r="DF69" i="4"/>
  <c r="BK69" i="4"/>
  <c r="BJ69" i="4"/>
  <c r="BI69" i="4"/>
  <c r="BJ74" i="4"/>
  <c r="BK74" i="4"/>
  <c r="DF74" i="4"/>
  <c r="BI74" i="4"/>
  <c r="BK71" i="4"/>
  <c r="BL71" i="4" s="1"/>
  <c r="DF71" i="4"/>
  <c r="BI71" i="4"/>
  <c r="BJ71" i="4"/>
  <c r="BI89" i="4"/>
  <c r="DF89" i="4"/>
  <c r="BK89" i="4"/>
  <c r="BJ89" i="4"/>
  <c r="BI88" i="4"/>
  <c r="BK88" i="4"/>
  <c r="DF88" i="4"/>
  <c r="BJ88" i="4"/>
  <c r="AA55" i="4"/>
  <c r="DB55" i="4" s="1"/>
  <c r="DB97" i="4" s="1"/>
  <c r="AB55" i="4"/>
  <c r="DF78" i="4"/>
  <c r="BI78" i="4"/>
  <c r="BK78" i="4"/>
  <c r="BJ78" i="4"/>
  <c r="BJ83" i="4"/>
  <c r="BI83" i="4"/>
  <c r="BK83" i="4"/>
  <c r="BL83" i="4" s="1"/>
  <c r="DF83" i="4"/>
  <c r="BK93" i="4"/>
  <c r="DF93" i="4"/>
  <c r="BI93" i="4"/>
  <c r="BJ93" i="4"/>
  <c r="BK23" i="4"/>
  <c r="DF23" i="4"/>
  <c r="BI23" i="4"/>
  <c r="BJ23" i="4"/>
  <c r="BK94" i="4"/>
  <c r="BJ94" i="4"/>
  <c r="DF94" i="4"/>
  <c r="BI94" i="4"/>
  <c r="BJ62" i="4"/>
  <c r="DF62" i="4"/>
  <c r="BK62" i="4"/>
  <c r="BI62" i="4"/>
  <c r="BJ58" i="4"/>
  <c r="DF58" i="4"/>
  <c r="BI58" i="4"/>
  <c r="BK58" i="4"/>
  <c r="BK76" i="4"/>
  <c r="DF76" i="4"/>
  <c r="BI76" i="4"/>
  <c r="BJ76" i="4"/>
  <c r="BJ90" i="4"/>
  <c r="DF90" i="4"/>
  <c r="BI90" i="4"/>
  <c r="BK90" i="4"/>
  <c r="BL90" i="4" s="1"/>
  <c r="DF81" i="4"/>
  <c r="BI81" i="4"/>
  <c r="BK81" i="4"/>
  <c r="BJ81" i="4"/>
  <c r="DF77" i="4"/>
  <c r="BI77" i="4"/>
  <c r="BK77" i="4"/>
  <c r="BJ77" i="4"/>
  <c r="BK73" i="4"/>
  <c r="BI73" i="4"/>
  <c r="BJ73" i="4"/>
  <c r="DF73" i="4"/>
  <c r="BK75" i="4"/>
  <c r="BJ75" i="4"/>
  <c r="DF75" i="4"/>
  <c r="BI75" i="4"/>
  <c r="BI85" i="4"/>
  <c r="DF85" i="4"/>
  <c r="BK85" i="4"/>
  <c r="BJ85" i="4"/>
  <c r="BK84" i="4"/>
  <c r="DF84" i="4"/>
  <c r="BJ84" i="4"/>
  <c r="BI84" i="4"/>
  <c r="BJ87" i="4"/>
  <c r="BI87" i="4"/>
  <c r="BK87" i="4"/>
  <c r="DF87" i="4"/>
  <c r="DF64" i="4"/>
  <c r="BK64" i="4"/>
  <c r="BJ64" i="4"/>
  <c r="BI64" i="4"/>
  <c r="BI57" i="4"/>
  <c r="DF57" i="4"/>
  <c r="BK57" i="4"/>
  <c r="BJ57" i="4"/>
  <c r="DF68" i="4"/>
  <c r="BK68" i="4"/>
  <c r="BL68" i="4" s="1"/>
  <c r="BI68" i="4"/>
  <c r="BJ68" i="4"/>
  <c r="BI60" i="4"/>
  <c r="BJ60" i="4"/>
  <c r="BK60" i="4"/>
  <c r="L60" i="4" s="1"/>
  <c r="CA60" i="4" s="1"/>
  <c r="DF60" i="4"/>
  <c r="BJ63" i="4"/>
  <c r="DF63" i="4"/>
  <c r="BK63" i="4"/>
  <c r="BL63" i="4" s="1"/>
  <c r="BI63" i="4"/>
  <c r="BI70" i="4"/>
  <c r="BJ70" i="4"/>
  <c r="BK70" i="4"/>
  <c r="DF70" i="4"/>
  <c r="BI72" i="4"/>
  <c r="BJ72" i="4"/>
  <c r="DF72" i="4"/>
  <c r="BK72" i="4"/>
  <c r="BK92" i="4"/>
  <c r="BJ92" i="4"/>
  <c r="BI92" i="4"/>
  <c r="DF92" i="4"/>
  <c r="BJ67" i="4"/>
  <c r="BI67" i="4"/>
  <c r="DF67" i="4"/>
  <c r="BK67" i="4"/>
  <c r="BI86" i="4"/>
  <c r="DF86" i="4"/>
  <c r="BK86" i="4"/>
  <c r="BJ86" i="4"/>
  <c r="BJ65" i="4"/>
  <c r="BI65" i="4"/>
  <c r="BK65" i="4"/>
  <c r="DF65" i="4"/>
  <c r="BI61" i="4"/>
  <c r="BK61" i="4"/>
  <c r="BL61" i="4" s="1"/>
  <c r="BJ61" i="4"/>
  <c r="DF61" i="4"/>
  <c r="DF66" i="4"/>
  <c r="BK66" i="4"/>
  <c r="BL66" i="4" s="1"/>
  <c r="BI66" i="4"/>
  <c r="BJ66" i="4"/>
  <c r="DF80" i="4"/>
  <c r="BK80" i="4"/>
  <c r="BL80" i="4" s="1"/>
  <c r="BJ80" i="4"/>
  <c r="BI80" i="4"/>
  <c r="B55" i="1"/>
  <c r="AV570" i="13"/>
  <c r="DV68" i="4"/>
  <c r="DV66" i="4"/>
  <c r="AV568" i="13"/>
  <c r="F74" i="69"/>
  <c r="F74" i="72"/>
  <c r="DV90" i="4"/>
  <c r="AV592" i="13"/>
  <c r="DV83" i="4"/>
  <c r="AV585" i="13"/>
  <c r="BI94" i="69" a="1"/>
  <c r="BI94" i="69" s="1"/>
  <c r="AQ94" i="69" a="1"/>
  <c r="AQ94" i="69" s="1"/>
  <c r="AJ94" i="69" a="1"/>
  <c r="AJ94" i="69" s="1"/>
  <c r="AR94" i="69" a="1"/>
  <c r="AR94" i="69" s="1"/>
  <c r="AV94" i="69" a="1"/>
  <c r="AV94" i="69" s="1"/>
  <c r="AU94" i="69" a="1"/>
  <c r="AU94" i="69" s="1"/>
  <c r="AF94" i="69" a="1"/>
  <c r="AF94" i="69" s="1"/>
  <c r="AP94" i="69" a="1"/>
  <c r="AP94" i="69" s="1"/>
  <c r="AH94" i="69" a="1"/>
  <c r="AH94" i="69" s="1"/>
  <c r="AL94" i="69" a="1"/>
  <c r="AL94" i="69" s="1"/>
  <c r="AO94" i="69" a="1"/>
  <c r="AO94" i="69" s="1"/>
  <c r="AS94" i="69" a="1"/>
  <c r="AS94" i="69" s="1"/>
  <c r="DV61" i="4"/>
  <c r="AV563" i="13"/>
  <c r="DV63" i="4"/>
  <c r="AV565" i="13"/>
  <c r="F92" i="72"/>
  <c r="F92" i="69"/>
  <c r="DV71" i="4"/>
  <c r="AV573" i="13"/>
  <c r="DV80" i="4"/>
  <c r="AV582" i="13"/>
  <c r="F57" i="69"/>
  <c r="F57" i="72"/>
  <c r="BT6" i="4"/>
  <c r="BD6" i="4"/>
  <c r="AV1101" i="13"/>
  <c r="AX1301" i="13"/>
  <c r="A1400" i="13"/>
  <c r="BB76" i="72"/>
  <c r="AS76" i="72"/>
  <c r="BC76" i="72"/>
  <c r="AR76" i="72"/>
  <c r="P76" i="72"/>
  <c r="M76" i="72"/>
  <c r="J76" i="72"/>
  <c r="Q76" i="72"/>
  <c r="Z76" i="72"/>
  <c r="AA76" i="72"/>
  <c r="W76" i="72"/>
  <c r="BP76" i="72" s="1"/>
  <c r="AC76" i="72"/>
  <c r="A76" i="72"/>
  <c r="V76" i="72"/>
  <c r="AB76" i="72" a="1"/>
  <c r="AB76" i="72" s="1"/>
  <c r="Y76" i="72"/>
  <c r="T76" i="72"/>
  <c r="N76" i="72" a="1"/>
  <c r="N76" i="72" s="1"/>
  <c r="BU76" i="72"/>
  <c r="H43" i="15" a="1"/>
  <c r="H43" i="15" s="1"/>
  <c r="F43" i="15" a="1"/>
  <c r="F43" i="15" s="1"/>
  <c r="AR95" i="72"/>
  <c r="AM95" i="69"/>
  <c r="Y61" i="69"/>
  <c r="Q61" i="69"/>
  <c r="AC61" i="69"/>
  <c r="J61" i="69"/>
  <c r="A61" i="69"/>
  <c r="V61" i="69"/>
  <c r="Z61" i="69"/>
  <c r="T61" i="69"/>
  <c r="AA61" i="69"/>
  <c r="M61" i="69"/>
  <c r="AM61" i="69"/>
  <c r="AX61" i="69"/>
  <c r="W61" i="69"/>
  <c r="AN61" i="69"/>
  <c r="BP61" i="69"/>
  <c r="AB61" i="69" a="1"/>
  <c r="AB61" i="69" s="1"/>
  <c r="L61" i="69"/>
  <c r="N61" i="69" a="1"/>
  <c r="N61" i="69" s="1"/>
  <c r="P61" i="69"/>
  <c r="AW61" i="69"/>
  <c r="M80" i="69"/>
  <c r="V80" i="69"/>
  <c r="B80" i="69" s="1"/>
  <c r="P80" i="69"/>
  <c r="AA80" i="69"/>
  <c r="Q80" i="69"/>
  <c r="Y80" i="69"/>
  <c r="S80" i="69"/>
  <c r="AN80" i="69"/>
  <c r="AC80" i="69"/>
  <c r="Z80" i="69"/>
  <c r="AB80" i="69" a="1"/>
  <c r="AB80" i="69" s="1"/>
  <c r="BP80" i="69"/>
  <c r="AX80" i="69"/>
  <c r="AW80" i="69"/>
  <c r="W80" i="69"/>
  <c r="BL80" i="69" s="1" a="1"/>
  <c r="BL80" i="69" s="1"/>
  <c r="N80" i="69" a="1"/>
  <c r="N80" i="69" s="1"/>
  <c r="AM80" i="69"/>
  <c r="L80" i="69"/>
  <c r="T80" i="69"/>
  <c r="A80" i="69"/>
  <c r="J80" i="69"/>
  <c r="AX1383" i="13"/>
  <c r="A1482" i="13"/>
  <c r="AX1365" i="13"/>
  <c r="A1464" i="13"/>
  <c r="AM50" i="69"/>
  <c r="AA50" i="69"/>
  <c r="BP50" i="69"/>
  <c r="P50" i="69"/>
  <c r="U50" i="69" a="1"/>
  <c r="U50" i="69" s="1"/>
  <c r="AN50" i="69"/>
  <c r="Q50" i="69"/>
  <c r="W50" i="69"/>
  <c r="Z50" i="69"/>
  <c r="M50" i="69"/>
  <c r="A50" i="69"/>
  <c r="AX50" i="69"/>
  <c r="V50" i="69"/>
  <c r="B50" i="69" s="1"/>
  <c r="N50" i="69" a="1"/>
  <c r="N50" i="69" s="1"/>
  <c r="AC50" i="69"/>
  <c r="G50" i="69"/>
  <c r="J50" i="69"/>
  <c r="L50" i="69"/>
  <c r="Y50" i="69"/>
  <c r="AW50" i="69"/>
  <c r="T50" i="69"/>
  <c r="AB50" i="69" a="1"/>
  <c r="AB50" i="69" s="1"/>
  <c r="S50" i="69"/>
  <c r="I49" i="72"/>
  <c r="AW70" i="69"/>
  <c r="BP70" i="69"/>
  <c r="Z70" i="69"/>
  <c r="G70" i="69"/>
  <c r="V70" i="69"/>
  <c r="L70" i="69"/>
  <c r="T70" i="69"/>
  <c r="P70" i="69"/>
  <c r="Y70" i="69"/>
  <c r="AB70" i="69" a="1"/>
  <c r="AB70" i="69" s="1"/>
  <c r="AX70" i="69"/>
  <c r="W70" i="69"/>
  <c r="AA70" i="69"/>
  <c r="M70" i="69"/>
  <c r="A70" i="69"/>
  <c r="AN70" i="69"/>
  <c r="Q70" i="69"/>
  <c r="J70" i="69"/>
  <c r="AM70" i="69"/>
  <c r="AC70" i="69"/>
  <c r="N70" i="69" a="1"/>
  <c r="N70" i="69" s="1"/>
  <c r="F95" i="4"/>
  <c r="DE95" i="4"/>
  <c r="E95" i="4"/>
  <c r="Y16" i="69"/>
  <c r="AA16" i="69"/>
  <c r="S16" i="69"/>
  <c r="AN16" i="69"/>
  <c r="U16" i="69" a="1"/>
  <c r="U16" i="69" s="1"/>
  <c r="AM16" i="69"/>
  <c r="AX16" i="69"/>
  <c r="A16" i="69"/>
  <c r="M16" i="69"/>
  <c r="K16" i="69" a="1"/>
  <c r="K16" i="69" s="1"/>
  <c r="W16" i="69"/>
  <c r="AB16" i="69" a="1"/>
  <c r="AB16" i="69" s="1"/>
  <c r="AW16" i="69"/>
  <c r="N16" i="69" a="1"/>
  <c r="N16" i="69" s="1"/>
  <c r="J16" i="69"/>
  <c r="AC16" i="69"/>
  <c r="Z16" i="69"/>
  <c r="T16" i="69"/>
  <c r="P16" i="69"/>
  <c r="Q16" i="69"/>
  <c r="G16" i="69"/>
  <c r="V16" i="69"/>
  <c r="B16" i="69" s="1"/>
  <c r="BP16" i="69"/>
  <c r="BF16" i="69"/>
  <c r="O16" i="69"/>
  <c r="AX27" i="69"/>
  <c r="AM27" i="69"/>
  <c r="U27" i="69" a="1"/>
  <c r="U27" i="69" s="1"/>
  <c r="M27" i="69"/>
  <c r="W27" i="69"/>
  <c r="L27" i="69" s="1"/>
  <c r="G27" i="69"/>
  <c r="A27" i="69"/>
  <c r="AN27" i="69"/>
  <c r="AC27" i="69"/>
  <c r="AB27" i="69" a="1"/>
  <c r="AB27" i="69" s="1"/>
  <c r="N27" i="69" a="1"/>
  <c r="N27" i="69" s="1"/>
  <c r="Y27" i="69"/>
  <c r="AA27" i="69"/>
  <c r="S27" i="69"/>
  <c r="Z27" i="69"/>
  <c r="J27" i="69"/>
  <c r="Q27" i="69"/>
  <c r="BP27" i="69"/>
  <c r="P27" i="69"/>
  <c r="V27" i="69"/>
  <c r="B27" i="69" s="1"/>
  <c r="T27" i="69"/>
  <c r="AW27" i="69"/>
  <c r="S53" i="72"/>
  <c r="U53" i="72" a="1"/>
  <c r="U53" i="72" s="1"/>
  <c r="AC53" i="72"/>
  <c r="BC53" i="72"/>
  <c r="AB53" i="72" a="1"/>
  <c r="AB53" i="72" s="1"/>
  <c r="AA53" i="72"/>
  <c r="AR53" i="72"/>
  <c r="Q53" i="72"/>
  <c r="Y53" i="72"/>
  <c r="M53" i="72"/>
  <c r="Z53" i="72"/>
  <c r="A53" i="72"/>
  <c r="BU53" i="72"/>
  <c r="P53" i="72"/>
  <c r="BB53" i="72"/>
  <c r="J53" i="72"/>
  <c r="W53" i="72"/>
  <c r="BP53" i="72" s="1"/>
  <c r="AS53" i="72"/>
  <c r="V53" i="72"/>
  <c r="B53" i="72" s="1"/>
  <c r="G53" i="72"/>
  <c r="T53" i="72"/>
  <c r="N53" i="72" a="1"/>
  <c r="N53" i="72" s="1"/>
  <c r="F35" i="69"/>
  <c r="V82" i="72"/>
  <c r="B82" i="72" s="1"/>
  <c r="A82" i="72"/>
  <c r="Q82" i="72"/>
  <c r="BC82" i="72"/>
  <c r="BU82" i="72"/>
  <c r="AC82" i="72"/>
  <c r="AS82" i="72"/>
  <c r="U82" i="72" a="1"/>
  <c r="U82" i="72" s="1"/>
  <c r="W82" i="72"/>
  <c r="BQ82" i="72" s="1" a="1"/>
  <c r="BQ82" i="72" s="1"/>
  <c r="L82" i="72"/>
  <c r="M82" i="72"/>
  <c r="Y82" i="72"/>
  <c r="AR82" i="72"/>
  <c r="AA82" i="72"/>
  <c r="T82" i="72"/>
  <c r="N82" i="72" a="1"/>
  <c r="N82" i="72" s="1"/>
  <c r="P82" i="72"/>
  <c r="J82" i="72"/>
  <c r="BB82" i="72"/>
  <c r="Z82" i="72"/>
  <c r="AB82" i="72" a="1"/>
  <c r="AB82" i="72" s="1"/>
  <c r="S82" i="72"/>
  <c r="G82" i="72"/>
  <c r="F85" i="69"/>
  <c r="I82" i="69"/>
  <c r="Z95" i="4"/>
  <c r="AV1292" i="13" s="1"/>
  <c r="V67" i="69"/>
  <c r="B67" i="69" s="1"/>
  <c r="W67" i="69"/>
  <c r="S67" i="69"/>
  <c r="M67" i="69"/>
  <c r="P67" i="69"/>
  <c r="L67" i="69"/>
  <c r="AW67" i="69"/>
  <c r="AC67" i="69"/>
  <c r="Z67" i="69"/>
  <c r="A67" i="69"/>
  <c r="Q67" i="69"/>
  <c r="J67" i="69"/>
  <c r="AB67" i="69" a="1"/>
  <c r="AB67" i="69" s="1"/>
  <c r="AN67" i="69"/>
  <c r="N67" i="69" a="1"/>
  <c r="N67" i="69" s="1"/>
  <c r="Y67" i="69"/>
  <c r="AX67" i="69"/>
  <c r="T67" i="69"/>
  <c r="BP67" i="69"/>
  <c r="AA67" i="69"/>
  <c r="U67" i="69" a="1"/>
  <c r="U67" i="69" s="1"/>
  <c r="AM67" i="69"/>
  <c r="F33" i="72"/>
  <c r="AW75" i="69"/>
  <c r="T75" i="69"/>
  <c r="BP75" i="69"/>
  <c r="N75" i="69" a="1"/>
  <c r="N75" i="69" s="1"/>
  <c r="A75" i="69"/>
  <c r="M75" i="69"/>
  <c r="Y75" i="69"/>
  <c r="Z75" i="69"/>
  <c r="AC75" i="69"/>
  <c r="W75" i="69"/>
  <c r="AM75" i="69"/>
  <c r="AA75" i="69"/>
  <c r="AB75" i="69" a="1"/>
  <c r="AB75" i="69" s="1"/>
  <c r="AN75" i="69"/>
  <c r="J75" i="69"/>
  <c r="V75" i="69"/>
  <c r="B75" i="69" s="1"/>
  <c r="G75" i="69"/>
  <c r="P75" i="69"/>
  <c r="U75" i="69" a="1"/>
  <c r="U75" i="69" s="1"/>
  <c r="AX75" i="69"/>
  <c r="Q75" i="69"/>
  <c r="BK75" i="69"/>
  <c r="S75" i="69"/>
  <c r="I40" i="72"/>
  <c r="I90" i="72"/>
  <c r="AU3" i="4"/>
  <c r="Y3" i="4"/>
  <c r="AV3" i="4" a="1"/>
  <c r="AV3" i="4" s="1"/>
  <c r="AT3" i="4" a="1"/>
  <c r="AT3" i="4" s="1"/>
  <c r="CA3" i="4"/>
  <c r="CY3" i="4"/>
  <c r="CZ3" i="4" s="1"/>
  <c r="F3" i="9" s="1"/>
  <c r="J3" i="9" s="1"/>
  <c r="W92" i="22"/>
  <c r="Y92" i="22" s="1"/>
  <c r="Z1356" i="13"/>
  <c r="F60" i="4"/>
  <c r="AY60" i="4"/>
  <c r="AV62" i="13"/>
  <c r="AW60" i="4"/>
  <c r="AP60" i="4"/>
  <c r="AV362" i="13" s="1"/>
  <c r="AV462" i="13" s="1"/>
  <c r="S50" i="72"/>
  <c r="AA50" i="72"/>
  <c r="P50" i="72"/>
  <c r="W50" i="72"/>
  <c r="BB50" i="72"/>
  <c r="AS50" i="72"/>
  <c r="BC50" i="72"/>
  <c r="V50" i="72"/>
  <c r="B50" i="72" s="1"/>
  <c r="BU50" i="72"/>
  <c r="U50" i="72" a="1"/>
  <c r="U50" i="72" s="1"/>
  <c r="L50" i="72"/>
  <c r="AR50" i="72"/>
  <c r="G50" i="72"/>
  <c r="Z50" i="72"/>
  <c r="T50" i="72"/>
  <c r="Q50" i="72"/>
  <c r="J50" i="72"/>
  <c r="AB50" i="72" a="1"/>
  <c r="AB50" i="72" s="1"/>
  <c r="N50" i="72" a="1"/>
  <c r="N50" i="72" s="1"/>
  <c r="AC50" i="72"/>
  <c r="M50" i="72"/>
  <c r="A50" i="72"/>
  <c r="Y50" i="72"/>
  <c r="I42" i="72"/>
  <c r="Z70" i="72"/>
  <c r="N70" i="72" a="1"/>
  <c r="N70" i="72" s="1"/>
  <c r="Q70" i="72"/>
  <c r="W70" i="72"/>
  <c r="BQ70" i="72" s="1" a="1"/>
  <c r="BQ70" i="72" s="1"/>
  <c r="L70" i="72"/>
  <c r="AB70" i="72" a="1"/>
  <c r="AB70" i="72" s="1"/>
  <c r="BC70" i="72"/>
  <c r="AA70" i="72"/>
  <c r="Y70" i="72"/>
  <c r="AS70" i="72"/>
  <c r="J70" i="72"/>
  <c r="AR70" i="72"/>
  <c r="V70" i="72"/>
  <c r="M70" i="72"/>
  <c r="BB70" i="72"/>
  <c r="AC70" i="72"/>
  <c r="BU70" i="72"/>
  <c r="T70" i="72"/>
  <c r="P70" i="72"/>
  <c r="G70" i="72"/>
  <c r="U70" i="72" a="1"/>
  <c r="U70" i="72" s="1"/>
  <c r="A70" i="72"/>
  <c r="BB90" i="72"/>
  <c r="Z90" i="72"/>
  <c r="Q90" i="72"/>
  <c r="BU90" i="72"/>
  <c r="A90" i="72"/>
  <c r="AR90" i="72"/>
  <c r="J90" i="72"/>
  <c r="BC90" i="72"/>
  <c r="V90" i="72"/>
  <c r="B90" i="72" s="1"/>
  <c r="P90" i="72"/>
  <c r="AA90" i="72"/>
  <c r="N90" i="72" a="1"/>
  <c r="N90" i="72" s="1"/>
  <c r="T90" i="72"/>
  <c r="M90" i="72"/>
  <c r="AS90" i="72"/>
  <c r="L90" i="72"/>
  <c r="W90" i="72"/>
  <c r="BQ90" i="72" s="1" a="1"/>
  <c r="BQ90" i="72" s="1"/>
  <c r="AC90" i="72"/>
  <c r="Y90" i="72"/>
  <c r="AB90" i="72" a="1"/>
  <c r="AB90" i="72" s="1"/>
  <c r="G90" i="72"/>
  <c r="S90" i="72"/>
  <c r="Y13" i="69"/>
  <c r="Q13" i="69"/>
  <c r="G13" i="69"/>
  <c r="N13" i="69" a="1"/>
  <c r="N13" i="69" s="1"/>
  <c r="AN13" i="69"/>
  <c r="AX13" i="69"/>
  <c r="BP13" i="69"/>
  <c r="AM13" i="69"/>
  <c r="P13" i="69"/>
  <c r="AW13" i="69"/>
  <c r="W13" i="69"/>
  <c r="Z13" i="69"/>
  <c r="AB13" i="69" a="1"/>
  <c r="AB13" i="69" s="1"/>
  <c r="M13" i="69"/>
  <c r="J13" i="69"/>
  <c r="K13" i="69" a="1"/>
  <c r="K13" i="69" s="1"/>
  <c r="S13" i="69"/>
  <c r="AA13" i="69"/>
  <c r="T13" i="69"/>
  <c r="AC13" i="69"/>
  <c r="V13" i="69"/>
  <c r="B13" i="69" s="1"/>
  <c r="U13" i="69" a="1"/>
  <c r="U13" i="69" s="1"/>
  <c r="A13" i="69"/>
  <c r="I32" i="72"/>
  <c r="CW59" i="4"/>
  <c r="CX59" i="4" s="1"/>
  <c r="Z47" i="72"/>
  <c r="P47" i="72"/>
  <c r="U47" i="72" a="1"/>
  <c r="U47" i="72" s="1"/>
  <c r="G47" i="72"/>
  <c r="BC47" i="72"/>
  <c r="Q47" i="72"/>
  <c r="A47" i="72"/>
  <c r="W47" i="72"/>
  <c r="L47" i="72" s="1"/>
  <c r="AB47" i="72" a="1"/>
  <c r="AB47" i="72" s="1"/>
  <c r="BB47" i="72"/>
  <c r="AS47" i="72"/>
  <c r="T47" i="72"/>
  <c r="AA47" i="72"/>
  <c r="Y47" i="72"/>
  <c r="V47" i="72"/>
  <c r="B47" i="72" s="1"/>
  <c r="AR47" i="72"/>
  <c r="M47" i="72"/>
  <c r="N47" i="72" a="1"/>
  <c r="N47" i="72" s="1"/>
  <c r="AC47" i="72"/>
  <c r="J47" i="72"/>
  <c r="S47" i="72"/>
  <c r="BU47" i="72"/>
  <c r="F56" i="69"/>
  <c r="Z73" i="69"/>
  <c r="V73" i="69"/>
  <c r="B73" i="69" s="1"/>
  <c r="T73" i="69"/>
  <c r="AW73" i="69"/>
  <c r="AC73" i="69"/>
  <c r="AN73" i="69"/>
  <c r="P73" i="69"/>
  <c r="Q73" i="69"/>
  <c r="BP73" i="69"/>
  <c r="G73" i="69"/>
  <c r="AX73" i="69"/>
  <c r="S73" i="69"/>
  <c r="A73" i="69"/>
  <c r="AA73" i="69"/>
  <c r="AB73" i="69" a="1"/>
  <c r="AB73" i="69" s="1"/>
  <c r="N73" i="69" a="1"/>
  <c r="N73" i="69" s="1"/>
  <c r="AM73" i="69"/>
  <c r="M73" i="69"/>
  <c r="W73" i="69"/>
  <c r="L73" i="69" s="1"/>
  <c r="J73" i="69"/>
  <c r="Y73" i="69"/>
  <c r="U73" i="69" a="1"/>
  <c r="U73" i="69" s="1"/>
  <c r="I24" i="72"/>
  <c r="Y89" i="69"/>
  <c r="P89" i="69"/>
  <c r="AW89" i="69"/>
  <c r="T89" i="69"/>
  <c r="W89" i="69"/>
  <c r="BL89" i="69" s="1" a="1"/>
  <c r="BL89" i="69" s="1"/>
  <c r="M89" i="69"/>
  <c r="A89" i="69"/>
  <c r="J89" i="69"/>
  <c r="AB89" i="69" a="1"/>
  <c r="AB89" i="69" s="1"/>
  <c r="AM89" i="69"/>
  <c r="N89" i="69" a="1"/>
  <c r="N89" i="69" s="1"/>
  <c r="AN89" i="69"/>
  <c r="AC89" i="69"/>
  <c r="Z89" i="69"/>
  <c r="G89" i="69"/>
  <c r="AA89" i="69"/>
  <c r="U89" i="69" a="1"/>
  <c r="U89" i="69" s="1"/>
  <c r="V89" i="69"/>
  <c r="Q89" i="69"/>
  <c r="BP89" i="69"/>
  <c r="AX89" i="69"/>
  <c r="N69" i="69" a="1"/>
  <c r="N69" i="69" s="1"/>
  <c r="AA69" i="69"/>
  <c r="Z69" i="69"/>
  <c r="AX69" i="69"/>
  <c r="M69" i="69"/>
  <c r="Y69" i="69"/>
  <c r="Q69" i="69"/>
  <c r="AW69" i="69"/>
  <c r="AB69" i="69" a="1"/>
  <c r="AB69" i="69" s="1"/>
  <c r="W69" i="69"/>
  <c r="L69" i="69" s="1"/>
  <c r="BP69" i="69"/>
  <c r="V69" i="69"/>
  <c r="J69" i="69"/>
  <c r="P69" i="69"/>
  <c r="AM69" i="69"/>
  <c r="AC69" i="69"/>
  <c r="A69" i="69"/>
  <c r="T69" i="69"/>
  <c r="G69" i="69"/>
  <c r="AN69" i="69"/>
  <c r="I21" i="69"/>
  <c r="N486" i="15" a="1"/>
  <c r="N486" i="15" s="1"/>
  <c r="M486" i="15" a="1"/>
  <c r="M486" i="15" s="1"/>
  <c r="L486" i="15" a="1"/>
  <c r="L486" i="15" s="1"/>
  <c r="K486" i="15" a="1"/>
  <c r="K486" i="15" s="1"/>
  <c r="BT96" i="72"/>
  <c r="BG96" i="72"/>
  <c r="AK96" i="72"/>
  <c r="AN96" i="72"/>
  <c r="BD96" i="72"/>
  <c r="R96" i="72"/>
  <c r="BM96" i="72" a="1"/>
  <c r="BM96" i="72" s="1"/>
  <c r="BP96" i="72"/>
  <c r="BO96" i="72" s="1"/>
  <c r="BR96" i="72" s="1"/>
  <c r="BQ96" i="72" a="1"/>
  <c r="BQ96" i="72" s="1"/>
  <c r="E96" i="72"/>
  <c r="E69" i="15"/>
  <c r="P15" i="9"/>
  <c r="E263" i="15"/>
  <c r="E595" i="15"/>
  <c r="K594" i="15" s="1" a="1"/>
  <c r="K594" i="15" s="1"/>
  <c r="JF37" i="71"/>
  <c r="IH37" i="71"/>
  <c r="E341" i="15"/>
  <c r="E365" i="15"/>
  <c r="B96" i="72"/>
  <c r="P49" i="9"/>
  <c r="P75" i="9"/>
  <c r="E170" i="15"/>
  <c r="FE31" i="71"/>
  <c r="AX1364" i="13"/>
  <c r="A1463" i="13"/>
  <c r="GR37" i="71"/>
  <c r="AX1257" i="13"/>
  <c r="A1356" i="13"/>
  <c r="AX1317" i="13"/>
  <c r="A1416" i="13"/>
  <c r="AP83" i="4"/>
  <c r="AV385" i="13" s="1"/>
  <c r="AV485" i="13" s="1"/>
  <c r="FE25" i="71"/>
  <c r="AS97" i="4"/>
  <c r="AV79" i="4" a="1"/>
  <c r="AV79" i="4" s="1"/>
  <c r="C79" i="72" s="1"/>
  <c r="AT79" i="4" a="1"/>
  <c r="AT79" i="4" s="1"/>
  <c r="H79" i="72" s="1"/>
  <c r="AU79" i="4"/>
  <c r="Y79" i="4"/>
  <c r="AR4" i="69" a="1"/>
  <c r="AR4" i="69" s="1"/>
  <c r="BD17" i="4"/>
  <c r="E240" i="15"/>
  <c r="BH31" i="4"/>
  <c r="BL31" i="4"/>
  <c r="BM31" i="4" s="1"/>
  <c r="BE31" i="4" s="1" a="1"/>
  <c r="BE31" i="4" s="1"/>
  <c r="AV533" i="13"/>
  <c r="DV31" i="4"/>
  <c r="AL94" i="4"/>
  <c r="L526" i="15" a="1"/>
  <c r="L526" i="15" s="1"/>
  <c r="M58" i="69"/>
  <c r="CA25" i="4"/>
  <c r="AU25" i="4"/>
  <c r="AV25" i="4" a="1"/>
  <c r="AV25" i="4" s="1"/>
  <c r="C25" i="72" s="1"/>
  <c r="Y25" i="4"/>
  <c r="AT25" i="4" a="1"/>
  <c r="AT25" i="4" s="1"/>
  <c r="H25" i="72" s="1"/>
  <c r="CY25" i="4"/>
  <c r="CZ25" i="4" s="1"/>
  <c r="BQ25" i="4"/>
  <c r="BL36" i="4"/>
  <c r="BM36" i="4" s="1"/>
  <c r="BE36" i="4" s="1" a="1"/>
  <c r="BE36" i="4" s="1"/>
  <c r="BH36" i="4"/>
  <c r="AV538" i="13"/>
  <c r="DV36" i="4"/>
  <c r="AX1361" i="13"/>
  <c r="A1460" i="13"/>
  <c r="N578" i="15" a="1"/>
  <c r="N578" i="15" s="1"/>
  <c r="CW90" i="4"/>
  <c r="CX90" i="4" s="1"/>
  <c r="BL40" i="4"/>
  <c r="BM40" i="4" s="1"/>
  <c r="BE40" i="4" s="1" a="1"/>
  <c r="BE40" i="4" s="1"/>
  <c r="DV40" i="4"/>
  <c r="AV542" i="13"/>
  <c r="BH40" i="4"/>
  <c r="AP66" i="4"/>
  <c r="AV368" i="13" s="1"/>
  <c r="AV468" i="13" s="1"/>
  <c r="E399" i="15"/>
  <c r="P81" i="9"/>
  <c r="AV535" i="13"/>
  <c r="BL33" i="4"/>
  <c r="BM33" i="4" s="1"/>
  <c r="BE33" i="4" s="1" a="1"/>
  <c r="BE33" i="4" s="1"/>
  <c r="DV33" i="4"/>
  <c r="BH33" i="4"/>
  <c r="AX1350" i="13"/>
  <c r="A1449" i="13"/>
  <c r="AX1378" i="13"/>
  <c r="A1477" i="13"/>
  <c r="BL26" i="4"/>
  <c r="BM26" i="4" s="1"/>
  <c r="BE26" i="4" s="1" a="1"/>
  <c r="BE26" i="4" s="1"/>
  <c r="DV26" i="4"/>
  <c r="BH26" i="4"/>
  <c r="AV528" i="13"/>
  <c r="CW87" i="4"/>
  <c r="CX87" i="4" s="1"/>
  <c r="AU21" i="4"/>
  <c r="AT21" i="4" a="1"/>
  <c r="AT21" i="4" s="1"/>
  <c r="H21" i="72" s="1"/>
  <c r="AV21" i="4" a="1"/>
  <c r="AV21" i="4" s="1"/>
  <c r="C21" i="72" s="1"/>
  <c r="Y21" i="4"/>
  <c r="BQ21" i="4"/>
  <c r="CY21" i="4"/>
  <c r="CZ21" i="4" s="1"/>
  <c r="F93" i="4"/>
  <c r="BH48" i="4"/>
  <c r="AV550" i="13"/>
  <c r="BL48" i="4"/>
  <c r="BM48" i="4" s="1"/>
  <c r="BE48" i="4" s="1" a="1"/>
  <c r="BE48" i="4" s="1"/>
  <c r="DV48" i="4"/>
  <c r="L578" i="15" a="1"/>
  <c r="L578" i="15" s="1"/>
  <c r="BF41" i="4"/>
  <c r="L6" i="4"/>
  <c r="BG6" i="4"/>
  <c r="AV1104" i="13" s="1"/>
  <c r="X6" i="4"/>
  <c r="BR6" i="4"/>
  <c r="O6" i="69" s="1"/>
  <c r="BF39" i="4"/>
  <c r="BF34" i="4"/>
  <c r="X30" i="4"/>
  <c r="BG30" i="4"/>
  <c r="AV1128" i="13" s="1"/>
  <c r="BR30" i="4"/>
  <c r="O30" i="72" s="1"/>
  <c r="Q56" i="72"/>
  <c r="M56" i="72"/>
  <c r="L56" i="72"/>
  <c r="BB56" i="72"/>
  <c r="T56" i="72"/>
  <c r="BU56" i="72"/>
  <c r="S56" i="72"/>
  <c r="AS56" i="72"/>
  <c r="AA56" i="72"/>
  <c r="W56" i="72"/>
  <c r="BP56" i="72" s="1"/>
  <c r="N56" i="72" a="1"/>
  <c r="N56" i="72" s="1"/>
  <c r="AC56" i="72"/>
  <c r="J56" i="72"/>
  <c r="A56" i="72"/>
  <c r="V56" i="72"/>
  <c r="B56" i="72" s="1"/>
  <c r="BC56" i="72"/>
  <c r="Z56" i="72"/>
  <c r="G56" i="72"/>
  <c r="AB56" i="72" a="1"/>
  <c r="AB56" i="72" s="1"/>
  <c r="Y56" i="72"/>
  <c r="P56" i="72"/>
  <c r="AR56" i="72"/>
  <c r="F228" i="15" a="1"/>
  <c r="F228" i="15" s="1"/>
  <c r="F65" i="72"/>
  <c r="BC77" i="72"/>
  <c r="N77" i="72" a="1"/>
  <c r="N77" i="72" s="1"/>
  <c r="S77" i="72"/>
  <c r="A77" i="72"/>
  <c r="P77" i="72"/>
  <c r="AC77" i="72"/>
  <c r="Y77" i="72"/>
  <c r="BB77" i="72"/>
  <c r="BU77" i="72"/>
  <c r="G77" i="72"/>
  <c r="T77" i="72"/>
  <c r="M77" i="72"/>
  <c r="AS77" i="72"/>
  <c r="W77" i="72"/>
  <c r="BQ77" i="72" s="1" a="1"/>
  <c r="BQ77" i="72" s="1"/>
  <c r="AR77" i="72"/>
  <c r="V77" i="72"/>
  <c r="B77" i="72" s="1"/>
  <c r="L77" i="72"/>
  <c r="Z77" i="72"/>
  <c r="Q77" i="72"/>
  <c r="AA77" i="72"/>
  <c r="J77" i="72"/>
  <c r="AB77" i="72" a="1"/>
  <c r="AB77" i="72" s="1"/>
  <c r="U77" i="72" a="1"/>
  <c r="U77" i="72" s="1"/>
  <c r="AM51" i="69"/>
  <c r="BP51" i="69"/>
  <c r="G51" i="69"/>
  <c r="AX51" i="69"/>
  <c r="Z51" i="69"/>
  <c r="J51" i="69"/>
  <c r="M51" i="69"/>
  <c r="L51" i="69"/>
  <c r="AC51" i="69"/>
  <c r="AN51" i="69"/>
  <c r="A51" i="69"/>
  <c r="T51" i="69"/>
  <c r="Y51" i="69"/>
  <c r="W51" i="69"/>
  <c r="BL51" i="69" s="1" a="1"/>
  <c r="BL51" i="69" s="1"/>
  <c r="U51" i="69" a="1"/>
  <c r="U51" i="69" s="1"/>
  <c r="AA51" i="69"/>
  <c r="P51" i="69"/>
  <c r="S51" i="69"/>
  <c r="AB51" i="69" a="1"/>
  <c r="AB51" i="69" s="1"/>
  <c r="AW51" i="69"/>
  <c r="N51" i="69" a="1"/>
  <c r="N51" i="69" s="1"/>
  <c r="Q51" i="69"/>
  <c r="V51" i="69"/>
  <c r="B51" i="69" s="1"/>
  <c r="I74" i="69"/>
  <c r="F42" i="72"/>
  <c r="A28" i="72"/>
  <c r="G28" i="72"/>
  <c r="BC28" i="72"/>
  <c r="BU28" i="72"/>
  <c r="Y28" i="72"/>
  <c r="P28" i="72"/>
  <c r="Q28" i="72"/>
  <c r="M28" i="72"/>
  <c r="Z28" i="72"/>
  <c r="J28" i="72"/>
  <c r="AS28" i="72"/>
  <c r="W28" i="72"/>
  <c r="U28" i="72" a="1"/>
  <c r="U28" i="72" s="1"/>
  <c r="AB28" i="72" a="1"/>
  <c r="AB28" i="72" s="1"/>
  <c r="BB28" i="72"/>
  <c r="V28" i="72"/>
  <c r="B28" i="72" s="1"/>
  <c r="AR28" i="72"/>
  <c r="N28" i="72" a="1"/>
  <c r="N28" i="72" s="1"/>
  <c r="S28" i="72"/>
  <c r="T28" i="72"/>
  <c r="L28" i="72"/>
  <c r="AA28" i="72"/>
  <c r="AC28" i="72"/>
  <c r="BP28" i="72"/>
  <c r="P51" i="23"/>
  <c r="F51" i="14"/>
  <c r="O10" i="69"/>
  <c r="BF10" i="69"/>
  <c r="BK10" i="72"/>
  <c r="O10" i="72"/>
  <c r="F75" i="69"/>
  <c r="F95" i="72"/>
  <c r="F95" i="69"/>
  <c r="F78" i="72"/>
  <c r="S36" i="69"/>
  <c r="BP36" i="69"/>
  <c r="Z36" i="69"/>
  <c r="G36" i="69"/>
  <c r="AB36" i="69" a="1"/>
  <c r="AB36" i="69" s="1"/>
  <c r="AC36" i="69"/>
  <c r="V36" i="69"/>
  <c r="B36" i="69" s="1"/>
  <c r="AM36" i="69"/>
  <c r="AN36" i="69"/>
  <c r="T36" i="69"/>
  <c r="Q36" i="69"/>
  <c r="N36" i="69" a="1"/>
  <c r="N36" i="69" s="1"/>
  <c r="U36" i="69" a="1"/>
  <c r="U36" i="69" s="1"/>
  <c r="Y36" i="69"/>
  <c r="A36" i="69"/>
  <c r="M36" i="69"/>
  <c r="AA36" i="69"/>
  <c r="J36" i="69"/>
  <c r="P36" i="69"/>
  <c r="AX36" i="69"/>
  <c r="AW36" i="69"/>
  <c r="W36" i="69"/>
  <c r="BK36" i="69" s="1"/>
  <c r="AD61" i="4"/>
  <c r="V44" i="72"/>
  <c r="B44" i="72" s="1"/>
  <c r="AB44" i="72" a="1"/>
  <c r="AB44" i="72" s="1"/>
  <c r="BB44" i="72"/>
  <c r="Q44" i="72"/>
  <c r="J44" i="72"/>
  <c r="A44" i="72"/>
  <c r="N44" i="72" a="1"/>
  <c r="N44" i="72" s="1"/>
  <c r="AA44" i="72"/>
  <c r="M44" i="72"/>
  <c r="T44" i="72"/>
  <c r="AC44" i="72"/>
  <c r="AR44" i="72"/>
  <c r="S44" i="72"/>
  <c r="P44" i="72"/>
  <c r="AS44" i="72"/>
  <c r="Z44" i="72"/>
  <c r="BU44" i="72"/>
  <c r="BC44" i="72"/>
  <c r="G44" i="72"/>
  <c r="Y44" i="72"/>
  <c r="W44" i="72"/>
  <c r="BQ44" i="72" s="1" a="1"/>
  <c r="BQ44" i="72" s="1"/>
  <c r="L44" i="72"/>
  <c r="U44" i="72" a="1"/>
  <c r="U44" i="72" s="1"/>
  <c r="BB36" i="72"/>
  <c r="W36" i="72"/>
  <c r="BQ36" i="72" s="1" a="1"/>
  <c r="BQ36" i="72" s="1"/>
  <c r="BC36" i="72"/>
  <c r="Y36" i="72"/>
  <c r="AR36" i="72"/>
  <c r="V36" i="72"/>
  <c r="B36" i="72" s="1"/>
  <c r="Z36" i="72"/>
  <c r="AA36" i="72"/>
  <c r="M36" i="72"/>
  <c r="S36" i="72"/>
  <c r="AS36" i="72"/>
  <c r="J36" i="72"/>
  <c r="AB36" i="72" a="1"/>
  <c r="AB36" i="72" s="1"/>
  <c r="Q36" i="72"/>
  <c r="BU36" i="72"/>
  <c r="A36" i="72"/>
  <c r="P36" i="72"/>
  <c r="N36" i="72" a="1"/>
  <c r="N36" i="72" s="1"/>
  <c r="G36" i="72"/>
  <c r="U36" i="72" a="1"/>
  <c r="U36" i="72" s="1"/>
  <c r="AC36" i="72"/>
  <c r="T36" i="72"/>
  <c r="I75" i="72"/>
  <c r="T79" i="72"/>
  <c r="U79" i="72" a="1"/>
  <c r="U79" i="72" s="1"/>
  <c r="BU79" i="72"/>
  <c r="W79" i="72"/>
  <c r="L79" i="72" s="1"/>
  <c r="V79" i="72"/>
  <c r="B79" i="72" s="1"/>
  <c r="AS79" i="72"/>
  <c r="BC79" i="72"/>
  <c r="AB79" i="72" a="1"/>
  <c r="AB79" i="72" s="1"/>
  <c r="AR79" i="72"/>
  <c r="Z79" i="72"/>
  <c r="Q79" i="72"/>
  <c r="J79" i="72"/>
  <c r="M79" i="72"/>
  <c r="Y79" i="72"/>
  <c r="AC79" i="72"/>
  <c r="G79" i="72"/>
  <c r="S79" i="72"/>
  <c r="P79" i="72"/>
  <c r="N79" i="72" a="1"/>
  <c r="N79" i="72" s="1"/>
  <c r="A79" i="72"/>
  <c r="BB79" i="72"/>
  <c r="AA79" i="72"/>
  <c r="J82" i="69"/>
  <c r="M82" i="69"/>
  <c r="AM82" i="69"/>
  <c r="U82" i="69" a="1"/>
  <c r="U82" i="69" s="1"/>
  <c r="W82" i="69"/>
  <c r="Q82" i="69"/>
  <c r="Z82" i="69"/>
  <c r="L82" i="69"/>
  <c r="AC82" i="69"/>
  <c r="V82" i="69"/>
  <c r="B82" i="69" s="1"/>
  <c r="A82" i="69"/>
  <c r="BP82" i="69"/>
  <c r="AB82" i="69" a="1"/>
  <c r="AB82" i="69" s="1"/>
  <c r="AW82" i="69"/>
  <c r="AX82" i="69"/>
  <c r="N82" i="69" a="1"/>
  <c r="N82" i="69" s="1"/>
  <c r="AA82" i="69"/>
  <c r="T82" i="69"/>
  <c r="AN82" i="69"/>
  <c r="P82" i="69"/>
  <c r="Y82" i="69"/>
  <c r="G82" i="69"/>
  <c r="S82" i="69"/>
  <c r="I25" i="72"/>
  <c r="AP95" i="4"/>
  <c r="BB67" i="72"/>
  <c r="U67" i="72" a="1"/>
  <c r="U67" i="72" s="1"/>
  <c r="AS67" i="72"/>
  <c r="W67" i="72"/>
  <c r="BP67" i="72" s="1"/>
  <c r="BC67" i="72"/>
  <c r="V67" i="72"/>
  <c r="B67" i="72" s="1"/>
  <c r="L67" i="72"/>
  <c r="N67" i="72" a="1"/>
  <c r="N67" i="72" s="1"/>
  <c r="BU67" i="72"/>
  <c r="J67" i="72"/>
  <c r="P67" i="72"/>
  <c r="Z67" i="72"/>
  <c r="S67" i="72"/>
  <c r="Q67" i="72"/>
  <c r="AR67" i="72"/>
  <c r="A67" i="72"/>
  <c r="AC67" i="72"/>
  <c r="T67" i="72"/>
  <c r="AA67" i="72"/>
  <c r="AB67" i="72" a="1"/>
  <c r="AB67" i="72" s="1"/>
  <c r="Y67" i="72"/>
  <c r="M67" i="72"/>
  <c r="F40" i="72"/>
  <c r="I26" i="72"/>
  <c r="I19" i="69"/>
  <c r="DA59" i="4" a="1"/>
  <c r="DA59" i="4" s="1"/>
  <c r="E59" i="4"/>
  <c r="DE59" i="4"/>
  <c r="E281" i="15"/>
  <c r="Z75" i="72"/>
  <c r="BB75" i="72"/>
  <c r="P75" i="72"/>
  <c r="W75" i="72"/>
  <c r="BP75" i="72" s="1"/>
  <c r="AB75" i="72" a="1"/>
  <c r="AB75" i="72" s="1"/>
  <c r="V75" i="72"/>
  <c r="B75" i="72" s="1"/>
  <c r="M75" i="72"/>
  <c r="N75" i="72" a="1"/>
  <c r="N75" i="72" s="1"/>
  <c r="AS75" i="72"/>
  <c r="G75" i="72"/>
  <c r="Q75" i="72"/>
  <c r="U75" i="72" a="1"/>
  <c r="U75" i="72" s="1"/>
  <c r="BU75" i="72"/>
  <c r="BC75" i="72"/>
  <c r="Y75" i="72"/>
  <c r="AR75" i="72"/>
  <c r="T75" i="72"/>
  <c r="AC75" i="72"/>
  <c r="A75" i="72"/>
  <c r="J75" i="72"/>
  <c r="AA75" i="72"/>
  <c r="S75" i="72"/>
  <c r="AV1247" i="13"/>
  <c r="F49" i="72"/>
  <c r="AX72" i="69"/>
  <c r="A72" i="69"/>
  <c r="U72" i="69" a="1"/>
  <c r="U72" i="69" s="1"/>
  <c r="AC72" i="69"/>
  <c r="Q72" i="69"/>
  <c r="W72" i="69"/>
  <c r="L72" i="69"/>
  <c r="Y72" i="69"/>
  <c r="G72" i="69"/>
  <c r="N72" i="69" a="1"/>
  <c r="N72" i="69" s="1"/>
  <c r="AA72" i="69"/>
  <c r="T72" i="69"/>
  <c r="M72" i="69"/>
  <c r="AN72" i="69"/>
  <c r="V72" i="69"/>
  <c r="B72" i="69" s="1"/>
  <c r="AM72" i="69"/>
  <c r="BP72" i="69"/>
  <c r="P72" i="69"/>
  <c r="AW72" i="69"/>
  <c r="J72" i="69"/>
  <c r="AB72" i="69" a="1"/>
  <c r="AB72" i="69" s="1"/>
  <c r="Z72" i="69"/>
  <c r="S72" i="69"/>
  <c r="P30" i="72"/>
  <c r="N30" i="72" a="1"/>
  <c r="N30" i="72" s="1"/>
  <c r="T30" i="72"/>
  <c r="BB30" i="72"/>
  <c r="Y30" i="72"/>
  <c r="AR30" i="72"/>
  <c r="AS30" i="72"/>
  <c r="W30" i="72"/>
  <c r="Q30" i="72"/>
  <c r="AA30" i="72"/>
  <c r="BC30" i="72"/>
  <c r="G30" i="72"/>
  <c r="M30" i="72"/>
  <c r="S30" i="72"/>
  <c r="U30" i="72" a="1"/>
  <c r="U30" i="72" s="1"/>
  <c r="AB30" i="72" a="1"/>
  <c r="AB30" i="72" s="1"/>
  <c r="AC30" i="72"/>
  <c r="BU30" i="72"/>
  <c r="A30" i="72"/>
  <c r="Z30" i="72"/>
  <c r="V30" i="72"/>
  <c r="B30" i="72" s="1"/>
  <c r="J30" i="72"/>
  <c r="K498" i="15" a="1"/>
  <c r="K498" i="15" s="1"/>
  <c r="DA56" i="4" a="1"/>
  <c r="DA56" i="4" s="1"/>
  <c r="DE56" i="4"/>
  <c r="E56" i="4"/>
  <c r="BT56" i="4" s="1"/>
  <c r="AC78" i="72"/>
  <c r="T78" i="72"/>
  <c r="AB78" i="72" a="1"/>
  <c r="AB78" i="72" s="1"/>
  <c r="P78" i="72"/>
  <c r="V78" i="72"/>
  <c r="BC78" i="72"/>
  <c r="J78" i="72"/>
  <c r="Q78" i="72"/>
  <c r="AS78" i="72"/>
  <c r="AA78" i="72"/>
  <c r="N78" i="72" a="1"/>
  <c r="N78" i="72" s="1"/>
  <c r="BU78" i="72"/>
  <c r="Y78" i="72"/>
  <c r="A78" i="72"/>
  <c r="Z78" i="72"/>
  <c r="L78" i="72"/>
  <c r="BB78" i="72"/>
  <c r="AR78" i="72"/>
  <c r="W78" i="72"/>
  <c r="M78" i="72"/>
  <c r="G78" i="72"/>
  <c r="AE17" i="27"/>
  <c r="K16" i="27"/>
  <c r="BU25" i="72"/>
  <c r="V25" i="72"/>
  <c r="B25" i="72" s="1"/>
  <c r="BB25" i="72"/>
  <c r="T25" i="72"/>
  <c r="AB25" i="72" a="1"/>
  <c r="AB25" i="72" s="1"/>
  <c r="AA25" i="72"/>
  <c r="Y25" i="72"/>
  <c r="Q25" i="72"/>
  <c r="P25" i="72"/>
  <c r="G25" i="72"/>
  <c r="N25" i="72" a="1"/>
  <c r="N25" i="72" s="1"/>
  <c r="A25" i="72"/>
  <c r="S25" i="72"/>
  <c r="M25" i="72"/>
  <c r="AR25" i="72"/>
  <c r="AC25" i="72"/>
  <c r="U25" i="72" a="1"/>
  <c r="U25" i="72" s="1"/>
  <c r="J25" i="72"/>
  <c r="BC25" i="72"/>
  <c r="AS25" i="72"/>
  <c r="Z25" i="72"/>
  <c r="W25" i="72"/>
  <c r="L25" i="72" s="1"/>
  <c r="F12" i="72"/>
  <c r="J90" i="69"/>
  <c r="N90" i="69" a="1"/>
  <c r="N90" i="69" s="1"/>
  <c r="AB90" i="69" a="1"/>
  <c r="AB90" i="69" s="1"/>
  <c r="W90" i="69"/>
  <c r="BK90" i="69" s="1"/>
  <c r="AC90" i="69"/>
  <c r="AN90" i="69"/>
  <c r="P90" i="69"/>
  <c r="M90" i="69"/>
  <c r="AX90" i="69"/>
  <c r="AM90" i="69"/>
  <c r="L90" i="69"/>
  <c r="Y90" i="69"/>
  <c r="Q90" i="69"/>
  <c r="BP90" i="69"/>
  <c r="V90" i="69"/>
  <c r="B90" i="69" s="1"/>
  <c r="Z90" i="69"/>
  <c r="AA90" i="69"/>
  <c r="T90" i="69"/>
  <c r="A90" i="69"/>
  <c r="AW90" i="69"/>
  <c r="S90" i="69"/>
  <c r="G90" i="69"/>
  <c r="M13" i="72"/>
  <c r="V13" i="72"/>
  <c r="B13" i="72" s="1"/>
  <c r="N13" i="72" a="1"/>
  <c r="N13" i="72" s="1"/>
  <c r="J13" i="72"/>
  <c r="W13" i="72"/>
  <c r="Y13" i="72"/>
  <c r="P13" i="72"/>
  <c r="K13" i="72" a="1"/>
  <c r="K13" i="72" s="1"/>
  <c r="U13" i="72" a="1"/>
  <c r="U13" i="72" s="1"/>
  <c r="Z13" i="72"/>
  <c r="AR13" i="72"/>
  <c r="AC13" i="72"/>
  <c r="AB13" i="72" a="1"/>
  <c r="AB13" i="72" s="1"/>
  <c r="A13" i="72"/>
  <c r="S13" i="72"/>
  <c r="BU13" i="72"/>
  <c r="AA13" i="72"/>
  <c r="E13" i="72" s="1"/>
  <c r="G13" i="72"/>
  <c r="BB13" i="72"/>
  <c r="AS13" i="72"/>
  <c r="T13" i="72"/>
  <c r="BC13" i="72"/>
  <c r="Q13" i="72"/>
  <c r="Z61" i="4"/>
  <c r="AV1258" i="13" s="1"/>
  <c r="I15" i="72"/>
  <c r="W47" i="69"/>
  <c r="BK47" i="69" s="1"/>
  <c r="P47" i="69"/>
  <c r="AM47" i="69"/>
  <c r="Y47" i="69"/>
  <c r="M47" i="69"/>
  <c r="AX47" i="69"/>
  <c r="J47" i="69"/>
  <c r="U47" i="69" a="1"/>
  <c r="U47" i="69" s="1"/>
  <c r="AW47" i="69"/>
  <c r="G47" i="69"/>
  <c r="T47" i="69"/>
  <c r="AA47" i="69"/>
  <c r="A47" i="69"/>
  <c r="BP47" i="69"/>
  <c r="V47" i="69"/>
  <c r="B47" i="69" s="1"/>
  <c r="N47" i="69" a="1"/>
  <c r="N47" i="69" s="1"/>
  <c r="AC47" i="69"/>
  <c r="AB47" i="69" a="1"/>
  <c r="AB47" i="69" s="1"/>
  <c r="Z47" i="69"/>
  <c r="S47" i="69"/>
  <c r="Q47" i="69"/>
  <c r="AN47" i="69"/>
  <c r="I44" i="72"/>
  <c r="I53" i="69"/>
  <c r="BB73" i="72"/>
  <c r="N73" i="72" a="1"/>
  <c r="N73" i="72" s="1"/>
  <c r="T73" i="72"/>
  <c r="AB73" i="72" a="1"/>
  <c r="AB73" i="72" s="1"/>
  <c r="P73" i="72"/>
  <c r="J73" i="72"/>
  <c r="V73" i="72"/>
  <c r="B73" i="72" s="1"/>
  <c r="BC73" i="72"/>
  <c r="AS73" i="72"/>
  <c r="Z73" i="72"/>
  <c r="Q73" i="72"/>
  <c r="AA73" i="72"/>
  <c r="Y73" i="72"/>
  <c r="AR73" i="72"/>
  <c r="AC73" i="72"/>
  <c r="BU73" i="72"/>
  <c r="G73" i="72"/>
  <c r="M73" i="72"/>
  <c r="S73" i="72"/>
  <c r="W73" i="72"/>
  <c r="BQ73" i="72" s="1" a="1"/>
  <c r="BQ73" i="72" s="1"/>
  <c r="A73" i="72"/>
  <c r="U73" i="72" a="1"/>
  <c r="U73" i="72" s="1"/>
  <c r="F41" i="69"/>
  <c r="AV405" i="13"/>
  <c r="I208" i="15" a="1"/>
  <c r="I208" i="15" s="1"/>
  <c r="AA89" i="72"/>
  <c r="M89" i="72"/>
  <c r="Y89" i="72"/>
  <c r="G89" i="72"/>
  <c r="J89" i="72"/>
  <c r="BC89" i="72"/>
  <c r="BB89" i="72"/>
  <c r="AC89" i="72"/>
  <c r="BU89" i="72"/>
  <c r="AB89" i="72" a="1"/>
  <c r="AB89" i="72" s="1"/>
  <c r="U89" i="72" a="1"/>
  <c r="U89" i="72" s="1"/>
  <c r="AR89" i="72"/>
  <c r="AS89" i="72"/>
  <c r="T89" i="72"/>
  <c r="Q89" i="72"/>
  <c r="P89" i="72"/>
  <c r="A89" i="72"/>
  <c r="N89" i="72" a="1"/>
  <c r="N89" i="72" s="1"/>
  <c r="W89" i="72"/>
  <c r="L89" i="72" s="1"/>
  <c r="Z89" i="72"/>
  <c r="V89" i="72"/>
  <c r="BB69" i="72"/>
  <c r="AA69" i="72"/>
  <c r="V69" i="72"/>
  <c r="J69" i="72"/>
  <c r="W69" i="72"/>
  <c r="BP69" i="72" s="1"/>
  <c r="T69" i="72"/>
  <c r="N69" i="72" a="1"/>
  <c r="N69" i="72" s="1"/>
  <c r="Q69" i="72"/>
  <c r="G69" i="72"/>
  <c r="BU69" i="72"/>
  <c r="AC69" i="72"/>
  <c r="AS69" i="72"/>
  <c r="BC69" i="72"/>
  <c r="Y69" i="72"/>
  <c r="AR69" i="72"/>
  <c r="Z69" i="72"/>
  <c r="M69" i="72"/>
  <c r="A69" i="72"/>
  <c r="P69" i="72"/>
  <c r="AB69" i="72" a="1"/>
  <c r="AB69" i="72" s="1"/>
  <c r="I18" i="72"/>
  <c r="AV1346" i="13"/>
  <c r="AV1296" i="13" s="1" a="1"/>
  <c r="AV1296" i="13" s="1"/>
  <c r="I9" i="27"/>
  <c r="AH61" i="4"/>
  <c r="AV1357" i="13" s="1"/>
  <c r="AX1375" i="13"/>
  <c r="A1474" i="13"/>
  <c r="BM4" i="4"/>
  <c r="BE4" i="4" s="1" a="1"/>
  <c r="BE4" i="4" s="1"/>
  <c r="BD4" i="69"/>
  <c r="AD4" i="69"/>
  <c r="BI4" i="72"/>
  <c r="AD4" i="72"/>
  <c r="E146" i="15"/>
  <c r="N481" i="15" a="1"/>
  <c r="N481" i="15" s="1"/>
  <c r="M481" i="15" a="1"/>
  <c r="M481" i="15" s="1"/>
  <c r="K481" i="15" a="1"/>
  <c r="K481" i="15" s="1"/>
  <c r="E531" i="15"/>
  <c r="P56" i="9"/>
  <c r="P25" i="9"/>
  <c r="E92" i="15"/>
  <c r="H91" i="15" s="1" a="1"/>
  <c r="H91" i="15" s="1"/>
  <c r="P17" i="9"/>
  <c r="L648" i="15" a="1"/>
  <c r="L648" i="15" s="1"/>
  <c r="M648" i="15" a="1"/>
  <c r="M648" i="15" s="1"/>
  <c r="N648" i="15" a="1"/>
  <c r="N648" i="15" s="1"/>
  <c r="K648" i="15" a="1"/>
  <c r="K648" i="15" s="1"/>
  <c r="JX37" i="71"/>
  <c r="P69" i="9"/>
  <c r="IZ37" i="71"/>
  <c r="AX1372" i="13"/>
  <c r="A1471" i="13"/>
  <c r="A1458" i="13"/>
  <c r="AX1359" i="13"/>
  <c r="AV584" i="13"/>
  <c r="DV82" i="4"/>
  <c r="BL82" i="4"/>
  <c r="BM82" i="4" s="1"/>
  <c r="BE82" i="4" s="1" a="1"/>
  <c r="BE82" i="4" s="1"/>
  <c r="A1465" i="13"/>
  <c r="AX1366" i="13"/>
  <c r="F76" i="4"/>
  <c r="AY58" i="72" a="1"/>
  <c r="AY58" i="72" s="1"/>
  <c r="BJ94" i="69"/>
  <c r="BM94" i="69" s="1"/>
  <c r="E198" i="15"/>
  <c r="DV19" i="4"/>
  <c r="AV521" i="13"/>
  <c r="BL19" i="4"/>
  <c r="BM19" i="4" s="1"/>
  <c r="BE19" i="4" s="1" a="1"/>
  <c r="BE19" i="4" s="1"/>
  <c r="BH19" i="4"/>
  <c r="BD19" i="4"/>
  <c r="X19" i="4" s="1"/>
  <c r="E555" i="15"/>
  <c r="BL79" i="4"/>
  <c r="BM79" i="4" s="1"/>
  <c r="BE79" i="4" s="1" a="1"/>
  <c r="BE79" i="4" s="1"/>
  <c r="BH79" i="4"/>
  <c r="DV79" i="4"/>
  <c r="AV581" i="13"/>
  <c r="BH35" i="4"/>
  <c r="AV537" i="13"/>
  <c r="DV35" i="4"/>
  <c r="BL35" i="4"/>
  <c r="BM35" i="4" s="1"/>
  <c r="BE35" i="4" s="1" a="1"/>
  <c r="BE35" i="4" s="1"/>
  <c r="A1428" i="13"/>
  <c r="AX1329" i="13"/>
  <c r="A1480" i="13"/>
  <c r="AX1381" i="13"/>
  <c r="AZ95" i="69"/>
  <c r="AG95" i="69" s="1" a="1"/>
  <c r="AG95" i="69" s="1"/>
  <c r="AQ3" i="4"/>
  <c r="AR3" i="4"/>
  <c r="E205" i="15"/>
  <c r="N526" i="15" a="1"/>
  <c r="N526" i="15" s="1"/>
  <c r="AD82" i="4"/>
  <c r="DE82" i="4"/>
  <c r="E82" i="4"/>
  <c r="BT82" i="4" s="1"/>
  <c r="AO58" i="69" a="1"/>
  <c r="AO58" i="69" s="1"/>
  <c r="BQ58" i="69"/>
  <c r="BH42" i="4"/>
  <c r="DV42" i="4"/>
  <c r="AV544" i="13"/>
  <c r="BL42" i="4"/>
  <c r="BM42" i="4" s="1"/>
  <c r="BE42" i="4" s="1" a="1"/>
  <c r="BE42" i="4" s="1"/>
  <c r="BL25" i="4"/>
  <c r="BM25" i="4" s="1"/>
  <c r="BE25" i="4" s="1" a="1"/>
  <c r="BE25" i="4" s="1"/>
  <c r="BH25" i="4"/>
  <c r="DV25" i="4"/>
  <c r="AV527" i="13"/>
  <c r="FE15" i="71"/>
  <c r="AH96" i="4"/>
  <c r="DE96" i="4"/>
  <c r="E96" i="4"/>
  <c r="E191" i="15"/>
  <c r="E327" i="15"/>
  <c r="E264" i="15"/>
  <c r="AX1373" i="13"/>
  <c r="A1472" i="13"/>
  <c r="B96" i="69"/>
  <c r="BL47" i="4"/>
  <c r="BM47" i="4" s="1"/>
  <c r="BE47" i="4" s="1" a="1"/>
  <c r="BE47" i="4" s="1"/>
  <c r="BH47" i="4"/>
  <c r="AV549" i="13"/>
  <c r="DV47" i="4"/>
  <c r="BH53" i="4"/>
  <c r="DV53" i="4"/>
  <c r="AV555" i="13"/>
  <c r="BL53" i="4"/>
  <c r="BM53" i="4" s="1"/>
  <c r="BE53" i="4" s="1" a="1"/>
  <c r="BE53" i="4" s="1"/>
  <c r="AP63" i="4"/>
  <c r="AV365" i="13" s="1"/>
  <c r="AV465" i="13" s="1"/>
  <c r="AD10" i="72"/>
  <c r="AV523" i="13"/>
  <c r="BH21" i="4"/>
  <c r="DV21" i="4"/>
  <c r="BL21" i="4"/>
  <c r="BM21" i="4" s="1"/>
  <c r="BE21" i="4" s="1" a="1"/>
  <c r="BE21" i="4" s="1"/>
  <c r="AP90" i="4"/>
  <c r="AV392" i="13" s="1"/>
  <c r="AV492" i="13" s="1"/>
  <c r="AV519" i="13"/>
  <c r="BH17" i="4"/>
  <c r="BL17" i="4"/>
  <c r="BM17" i="4" s="1"/>
  <c r="BE17" i="4" s="1" a="1"/>
  <c r="BE17" i="4" s="1"/>
  <c r="DV17" i="4"/>
  <c r="F62" i="4"/>
  <c r="L11" i="4"/>
  <c r="BG11" i="4"/>
  <c r="AV1109" i="13" s="1"/>
  <c r="L22" i="4"/>
  <c r="X22" i="4"/>
  <c r="BR22" i="4"/>
  <c r="BG22" i="4"/>
  <c r="AV1120" i="13" s="1"/>
  <c r="L51" i="4"/>
  <c r="BG51" i="4"/>
  <c r="AV1149" i="13" s="1"/>
  <c r="BF49" i="4"/>
  <c r="BG25" i="4"/>
  <c r="AV1123" i="13" s="1"/>
  <c r="BR25" i="4"/>
  <c r="X25" i="4"/>
  <c r="BF17" i="4"/>
  <c r="BG33" i="4"/>
  <c r="AV1131" i="13" s="1"/>
  <c r="BF12" i="4"/>
  <c r="BG40" i="4"/>
  <c r="AV1138" i="13" s="1"/>
  <c r="Q26" i="69"/>
  <c r="AN26" i="69"/>
  <c r="L26" i="69"/>
  <c r="N26" i="69" a="1"/>
  <c r="N26" i="69" s="1"/>
  <c r="S26" i="69"/>
  <c r="BP26" i="69"/>
  <c r="J26" i="69"/>
  <c r="M26" i="69"/>
  <c r="AA26" i="69"/>
  <c r="T26" i="69"/>
  <c r="U26" i="69" a="1"/>
  <c r="U26" i="69" s="1"/>
  <c r="AW26" i="69"/>
  <c r="V26" i="69"/>
  <c r="B26" i="69" s="1"/>
  <c r="Z26" i="69"/>
  <c r="AB26" i="69" a="1"/>
  <c r="AB26" i="69" s="1"/>
  <c r="P26" i="69"/>
  <c r="Y26" i="69"/>
  <c r="AX26" i="69"/>
  <c r="W26" i="69"/>
  <c r="BL26" i="69" s="1" a="1"/>
  <c r="BL26" i="69" s="1"/>
  <c r="A26" i="69"/>
  <c r="AM26" i="69"/>
  <c r="AC26" i="69"/>
  <c r="G26" i="69"/>
  <c r="BD26" i="69"/>
  <c r="Y10" i="4"/>
  <c r="AV10" i="4" a="1"/>
  <c r="AV10" i="4" s="1"/>
  <c r="AU10" i="4"/>
  <c r="AT10" i="4" a="1"/>
  <c r="AT10" i="4" s="1"/>
  <c r="CY10" i="4"/>
  <c r="CZ10" i="4" s="1"/>
  <c r="BQ10" i="4"/>
  <c r="CA10" i="4"/>
  <c r="U44" i="69" a="1"/>
  <c r="U44" i="69" s="1"/>
  <c r="M44" i="69"/>
  <c r="AC44" i="69"/>
  <c r="G44" i="69"/>
  <c r="S44" i="69"/>
  <c r="V44" i="69"/>
  <c r="B44" i="69" s="1"/>
  <c r="AN44" i="69"/>
  <c r="N44" i="69" a="1"/>
  <c r="N44" i="69" s="1"/>
  <c r="L44" i="69"/>
  <c r="AX44" i="69"/>
  <c r="Z44" i="69"/>
  <c r="W44" i="69"/>
  <c r="AW44" i="69"/>
  <c r="T44" i="69"/>
  <c r="BP44" i="69"/>
  <c r="Y44" i="69"/>
  <c r="AM44" i="69"/>
  <c r="J44" i="69"/>
  <c r="A44" i="69"/>
  <c r="AA44" i="69"/>
  <c r="Q44" i="69"/>
  <c r="AB44" i="69" a="1"/>
  <c r="AB44" i="69" s="1"/>
  <c r="P44" i="69"/>
  <c r="BK44" i="69"/>
  <c r="I95" i="69"/>
  <c r="I95" i="72"/>
  <c r="L29" i="69"/>
  <c r="A29" i="69"/>
  <c r="Z29" i="69"/>
  <c r="V29" i="69"/>
  <c r="B29" i="69" s="1"/>
  <c r="AM29" i="69"/>
  <c r="J29" i="69"/>
  <c r="P29" i="69"/>
  <c r="U29" i="69" a="1"/>
  <c r="U29" i="69" s="1"/>
  <c r="Y29" i="69"/>
  <c r="AB29" i="69" a="1"/>
  <c r="AB29" i="69" s="1"/>
  <c r="AX29" i="69"/>
  <c r="M29" i="69"/>
  <c r="Q29" i="69"/>
  <c r="S29" i="69"/>
  <c r="BP29" i="69"/>
  <c r="W29" i="69"/>
  <c r="BL29" i="69" s="1" a="1"/>
  <c r="BL29" i="69" s="1"/>
  <c r="AN29" i="69"/>
  <c r="G29" i="69"/>
  <c r="AC29" i="69"/>
  <c r="AW29" i="69"/>
  <c r="N29" i="69" a="1"/>
  <c r="N29" i="69" s="1"/>
  <c r="T29" i="69"/>
  <c r="AA29" i="69"/>
  <c r="AD62" i="4"/>
  <c r="Z69" i="4"/>
  <c r="AV1266" i="13" s="1"/>
  <c r="DE69" i="4"/>
  <c r="E69" i="4"/>
  <c r="BT69" i="4" s="1"/>
  <c r="Y72" i="72"/>
  <c r="Z72" i="72"/>
  <c r="BU72" i="72"/>
  <c r="AC72" i="72"/>
  <c r="J72" i="72"/>
  <c r="G72" i="72"/>
  <c r="A72" i="72"/>
  <c r="AR72" i="72"/>
  <c r="Q72" i="72"/>
  <c r="AS72" i="72"/>
  <c r="T72" i="72"/>
  <c r="BC72" i="72"/>
  <c r="AB72" i="72" a="1"/>
  <c r="AB72" i="72" s="1"/>
  <c r="P72" i="72"/>
  <c r="BB72" i="72"/>
  <c r="V72" i="72"/>
  <c r="B72" i="72" s="1"/>
  <c r="N72" i="72" a="1"/>
  <c r="N72" i="72" s="1"/>
  <c r="AA72" i="72"/>
  <c r="W72" i="72"/>
  <c r="BQ72" i="72" s="1" a="1"/>
  <c r="BQ72" i="72" s="1"/>
  <c r="L72" i="72"/>
  <c r="M72" i="72"/>
  <c r="U72" i="72" a="1"/>
  <c r="U72" i="72" s="1"/>
  <c r="S72" i="72"/>
  <c r="J30" i="69"/>
  <c r="P30" i="69"/>
  <c r="U30" i="69" a="1"/>
  <c r="U30" i="69" s="1"/>
  <c r="Y30" i="69"/>
  <c r="N30" i="69" a="1"/>
  <c r="N30" i="69" s="1"/>
  <c r="A30" i="69"/>
  <c r="M30" i="69"/>
  <c r="AX30" i="69"/>
  <c r="S30" i="69"/>
  <c r="T30" i="69"/>
  <c r="AB30" i="69" a="1"/>
  <c r="AB30" i="69" s="1"/>
  <c r="AM30" i="69"/>
  <c r="AC30" i="69"/>
  <c r="Z30" i="69"/>
  <c r="AN30" i="69"/>
  <c r="V30" i="69"/>
  <c r="B30" i="69" s="1"/>
  <c r="AA30" i="69"/>
  <c r="W30" i="69"/>
  <c r="BL30" i="69" s="1" a="1"/>
  <c r="BL30" i="69" s="1"/>
  <c r="BP30" i="69"/>
  <c r="AW30" i="69"/>
  <c r="Q30" i="69"/>
  <c r="G30" i="69"/>
  <c r="BF30" i="69"/>
  <c r="O30" i="69"/>
  <c r="I72" i="72"/>
  <c r="A78" i="69"/>
  <c r="Z78" i="69"/>
  <c r="N78" i="69" a="1"/>
  <c r="N78" i="69" s="1"/>
  <c r="BP78" i="69"/>
  <c r="AA78" i="69"/>
  <c r="Q78" i="69"/>
  <c r="P78" i="69"/>
  <c r="V78" i="69"/>
  <c r="J78" i="69"/>
  <c r="AW78" i="69"/>
  <c r="T78" i="69"/>
  <c r="AC78" i="69"/>
  <c r="Y78" i="69"/>
  <c r="AM78" i="69"/>
  <c r="W78" i="69"/>
  <c r="AN78" i="69"/>
  <c r="AX78" i="69"/>
  <c r="L78" i="69"/>
  <c r="AB78" i="69" a="1"/>
  <c r="AB78" i="69" s="1"/>
  <c r="M78" i="69"/>
  <c r="G78" i="69"/>
  <c r="I57" i="69"/>
  <c r="P25" i="69"/>
  <c r="Q25" i="69"/>
  <c r="T25" i="69"/>
  <c r="A25" i="69"/>
  <c r="BP25" i="69"/>
  <c r="G25" i="69"/>
  <c r="AW25" i="69"/>
  <c r="AA25" i="69"/>
  <c r="W25" i="69"/>
  <c r="L25" i="69" s="1"/>
  <c r="S25" i="69"/>
  <c r="V25" i="69"/>
  <c r="B25" i="69" s="1"/>
  <c r="Z25" i="69"/>
  <c r="Y25" i="69"/>
  <c r="U25" i="69" a="1"/>
  <c r="U25" i="69" s="1"/>
  <c r="AM25" i="69"/>
  <c r="AN25" i="69"/>
  <c r="AX25" i="69"/>
  <c r="N25" i="69" a="1"/>
  <c r="N25" i="69" s="1"/>
  <c r="AB25" i="69" a="1"/>
  <c r="AB25" i="69" s="1"/>
  <c r="J25" i="69"/>
  <c r="AC25" i="69"/>
  <c r="M25" i="69"/>
  <c r="C25" i="69"/>
  <c r="H25" i="69"/>
  <c r="I14" i="69"/>
  <c r="T12" i="69"/>
  <c r="AA12" i="69"/>
  <c r="N12" i="69" a="1"/>
  <c r="N12" i="69" s="1"/>
  <c r="U12" i="69" a="1"/>
  <c r="U12" i="69" s="1"/>
  <c r="AC12" i="69"/>
  <c r="W12" i="69"/>
  <c r="Q12" i="69"/>
  <c r="AM12" i="69"/>
  <c r="S12" i="69"/>
  <c r="G12" i="69"/>
  <c r="A12" i="69"/>
  <c r="Y12" i="69"/>
  <c r="BP12" i="69"/>
  <c r="K12" i="69" a="1"/>
  <c r="K12" i="69" s="1"/>
  <c r="AB12" i="69" a="1"/>
  <c r="AB12" i="69" s="1"/>
  <c r="M12" i="69"/>
  <c r="J12" i="69"/>
  <c r="AN12" i="69"/>
  <c r="L12" i="69"/>
  <c r="AW12" i="69"/>
  <c r="Z12" i="69"/>
  <c r="V12" i="69"/>
  <c r="B12" i="69" s="1"/>
  <c r="AX12" i="69"/>
  <c r="P12" i="69"/>
  <c r="Z76" i="4"/>
  <c r="AV1273" i="13" s="1"/>
  <c r="F74" i="4"/>
  <c r="DE74" i="4"/>
  <c r="E392" i="15"/>
  <c r="E74" i="4"/>
  <c r="BT74" i="4" s="1"/>
  <c r="CW67" i="4"/>
  <c r="CX67" i="4" s="1"/>
  <c r="Q65" i="69"/>
  <c r="AB65" i="69" a="1"/>
  <c r="AB65" i="69" s="1"/>
  <c r="P65" i="69"/>
  <c r="AX65" i="69"/>
  <c r="J65" i="69"/>
  <c r="AN65" i="69"/>
  <c r="BP65" i="69"/>
  <c r="V65" i="69"/>
  <c r="B65" i="69" s="1"/>
  <c r="S65" i="69"/>
  <c r="AW65" i="69"/>
  <c r="Z65" i="69"/>
  <c r="A65" i="69"/>
  <c r="Y65" i="69"/>
  <c r="W65" i="69"/>
  <c r="L65" i="69" s="1"/>
  <c r="AM65" i="69"/>
  <c r="N65" i="69" a="1"/>
  <c r="N65" i="69" s="1"/>
  <c r="T65" i="69"/>
  <c r="M65" i="69"/>
  <c r="AA65" i="69"/>
  <c r="G65" i="69"/>
  <c r="AC65" i="69"/>
  <c r="U65" i="69" a="1"/>
  <c r="U65" i="69" s="1"/>
  <c r="I80" i="69"/>
  <c r="AD76" i="4"/>
  <c r="AX1349" i="13"/>
  <c r="A1448" i="13"/>
  <c r="AX93" i="69"/>
  <c r="AN93" i="69"/>
  <c r="AW93" i="69"/>
  <c r="Z93" i="69"/>
  <c r="P93" i="69"/>
  <c r="W93" i="69"/>
  <c r="BK93" i="69" s="1"/>
  <c r="AM93" i="69"/>
  <c r="V93" i="69"/>
  <c r="B93" i="69" s="1"/>
  <c r="BP93" i="69"/>
  <c r="M93" i="69"/>
  <c r="N93" i="69" a="1"/>
  <c r="N93" i="69" s="1"/>
  <c r="AB93" i="69" a="1"/>
  <c r="AB93" i="69" s="1"/>
  <c r="AC93" i="69"/>
  <c r="AA93" i="69"/>
  <c r="L93" i="69"/>
  <c r="A93" i="69"/>
  <c r="Y93" i="69"/>
  <c r="Q93" i="69"/>
  <c r="T93" i="69"/>
  <c r="J93" i="69"/>
  <c r="G93" i="69"/>
  <c r="S93" i="69"/>
  <c r="W81" i="69"/>
  <c r="BL81" i="69" s="1" a="1"/>
  <c r="BL81" i="69" s="1"/>
  <c r="AM81" i="69"/>
  <c r="T81" i="69"/>
  <c r="A81" i="69"/>
  <c r="J81" i="69"/>
  <c r="G81" i="69"/>
  <c r="BP81" i="69"/>
  <c r="AN81" i="69"/>
  <c r="Z81" i="69"/>
  <c r="AW81" i="69"/>
  <c r="AA81" i="69"/>
  <c r="AX81" i="69"/>
  <c r="M81" i="69"/>
  <c r="V81" i="69"/>
  <c r="B81" i="69" s="1"/>
  <c r="P81" i="69"/>
  <c r="AC81" i="69"/>
  <c r="Y81" i="69"/>
  <c r="N81" i="69" a="1"/>
  <c r="N81" i="69" s="1"/>
  <c r="AB81" i="69" a="1"/>
  <c r="AB81" i="69" s="1"/>
  <c r="Q81" i="69"/>
  <c r="S81" i="69"/>
  <c r="AL92" i="4"/>
  <c r="A1420" i="13"/>
  <c r="AX1321" i="13"/>
  <c r="CW83" i="4"/>
  <c r="CX83" i="4" s="1"/>
  <c r="E343" i="15"/>
  <c r="E560" i="15"/>
  <c r="E447" i="15"/>
  <c r="E280" i="15"/>
  <c r="E56" i="15"/>
  <c r="BC94" i="69"/>
  <c r="S95" i="69"/>
  <c r="HP37" i="71"/>
  <c r="P65" i="9"/>
  <c r="E87" i="15"/>
  <c r="E610" i="15"/>
  <c r="F608" i="15" s="1" a="1"/>
  <c r="F608" i="15" s="1"/>
  <c r="K479" i="15" a="1"/>
  <c r="K479" i="15" s="1"/>
  <c r="L479" i="15" a="1"/>
  <c r="L479" i="15" s="1"/>
  <c r="N479" i="15" a="1"/>
  <c r="N479" i="15" s="1"/>
  <c r="M479" i="15" a="1"/>
  <c r="M479" i="15" s="1"/>
  <c r="E481" i="15"/>
  <c r="P50" i="9"/>
  <c r="E541" i="15"/>
  <c r="K540" i="15" s="1" a="1"/>
  <c r="K540" i="15" s="1"/>
  <c r="P20" i="9"/>
  <c r="HJ37" i="71"/>
  <c r="A1252" i="13"/>
  <c r="AX1153" i="13"/>
  <c r="F86" i="4"/>
  <c r="DA74" i="4" a="1"/>
  <c r="DA74" i="4" s="1"/>
  <c r="AE58" i="72" a="1"/>
  <c r="AE58" i="72" s="1"/>
  <c r="AD71" i="4"/>
  <c r="E71" i="4"/>
  <c r="BH71" i="4" s="1"/>
  <c r="DE71" i="4"/>
  <c r="P43" i="9"/>
  <c r="E60" i="15"/>
  <c r="FE18" i="71"/>
  <c r="M540" i="15" a="1"/>
  <c r="M540" i="15" s="1"/>
  <c r="Y44" i="4"/>
  <c r="AU44" i="4"/>
  <c r="AT44" i="4" a="1"/>
  <c r="AT44" i="4" s="1"/>
  <c r="H44" i="69" s="1"/>
  <c r="AV44" i="4" a="1"/>
  <c r="AV44" i="4" s="1"/>
  <c r="C44" i="69" s="1"/>
  <c r="BQ44" i="4"/>
  <c r="AG4" i="69" a="1"/>
  <c r="AG4" i="69" s="1"/>
  <c r="P92" i="9"/>
  <c r="AX1312" i="13"/>
  <c r="A1411" i="13"/>
  <c r="DD23" i="4" a="1"/>
  <c r="DD23" i="4" s="1"/>
  <c r="DA76" i="4" a="1"/>
  <c r="DA76" i="4" s="1"/>
  <c r="CA32" i="4"/>
  <c r="Y32" i="4"/>
  <c r="AV32" i="4" a="1"/>
  <c r="AV32" i="4" s="1"/>
  <c r="C32" i="72" s="1"/>
  <c r="AU32" i="4"/>
  <c r="AT32" i="4" a="1"/>
  <c r="AT32" i="4" s="1"/>
  <c r="H32" i="69" s="1"/>
  <c r="CY32" i="4"/>
  <c r="CZ32" i="4" s="1"/>
  <c r="BQ32" i="4"/>
  <c r="BH29" i="4"/>
  <c r="AV531" i="13"/>
  <c r="BL29" i="4"/>
  <c r="BM29" i="4" s="1"/>
  <c r="BE29" i="4" s="1" a="1"/>
  <c r="BE29" i="4" s="1"/>
  <c r="DV29" i="4"/>
  <c r="M526" i="15" a="1"/>
  <c r="M526" i="15" s="1"/>
  <c r="BC58" i="69"/>
  <c r="BL58" i="69" a="1"/>
  <c r="BL58" i="69" s="1"/>
  <c r="R58" i="69"/>
  <c r="BI58" i="69" a="1"/>
  <c r="BI58" i="69" s="1"/>
  <c r="BB58" i="69"/>
  <c r="AR58" i="69" s="1" a="1"/>
  <c r="AR58" i="69" s="1"/>
  <c r="AY58" i="69"/>
  <c r="AK58" i="69" a="1"/>
  <c r="AK58" i="69" s="1"/>
  <c r="AP92" i="4"/>
  <c r="AV394" i="13" s="1"/>
  <c r="AV494" i="13" s="1"/>
  <c r="BD94" i="72"/>
  <c r="BG94" i="72"/>
  <c r="AK94" i="72"/>
  <c r="AN94" i="72"/>
  <c r="BT94" i="72"/>
  <c r="R94" i="72"/>
  <c r="BM94" i="72" a="1"/>
  <c r="BM94" i="72" s="1"/>
  <c r="BP94" i="72"/>
  <c r="BO94" i="72" s="1"/>
  <c r="BR94" i="72" s="1"/>
  <c r="BQ94" i="72" a="1"/>
  <c r="BQ94" i="72" s="1"/>
  <c r="E94" i="72"/>
  <c r="E412" i="15"/>
  <c r="F405" i="15" s="1" a="1"/>
  <c r="F405" i="15" s="1"/>
  <c r="DA80" i="4" a="1"/>
  <c r="DA80" i="4" s="1"/>
  <c r="AP80" i="4"/>
  <c r="AV382" i="13" s="1"/>
  <c r="AV482" i="13" s="1"/>
  <c r="H16" i="27"/>
  <c r="A6" i="27" s="1" a="1"/>
  <c r="A6" i="27" s="1"/>
  <c r="AJ94" i="72"/>
  <c r="A1437" i="13"/>
  <c r="AX1338" i="13"/>
  <c r="M578" i="15" a="1"/>
  <c r="M578" i="15" s="1"/>
  <c r="L608" i="15" a="1"/>
  <c r="L608" i="15" s="1"/>
  <c r="N608" i="15" a="1"/>
  <c r="N608" i="15" s="1"/>
  <c r="K608" i="15" a="1"/>
  <c r="K608" i="15" s="1"/>
  <c r="AV47" i="4" a="1"/>
  <c r="AV47" i="4" s="1"/>
  <c r="C47" i="72" s="1"/>
  <c r="D47" i="72" s="1" a="1"/>
  <c r="D47" i="72" s="1"/>
  <c r="AU47" i="4"/>
  <c r="AT47" i="4" a="1"/>
  <c r="AT47" i="4" s="1"/>
  <c r="H47" i="72" s="1"/>
  <c r="Y47" i="4"/>
  <c r="BQ47" i="4"/>
  <c r="P42" i="9"/>
  <c r="FE14" i="71"/>
  <c r="BL46" i="4"/>
  <c r="BM46" i="4" s="1"/>
  <c r="BE46" i="4" s="1" a="1"/>
  <c r="BE46" i="4" s="1"/>
  <c r="DV46" i="4"/>
  <c r="AV548" i="13"/>
  <c r="BH46" i="4"/>
  <c r="CA91" i="4"/>
  <c r="Y91" i="4"/>
  <c r="AT91" i="4" a="1"/>
  <c r="AT91" i="4" s="1"/>
  <c r="H91" i="69" s="1"/>
  <c r="AV91" i="4" a="1"/>
  <c r="AV91" i="4" s="1"/>
  <c r="C91" i="69" s="1"/>
  <c r="AU91" i="4"/>
  <c r="BQ91" i="4"/>
  <c r="AP69" i="4"/>
  <c r="AV371" i="13" s="1"/>
  <c r="AV471" i="13" s="1"/>
  <c r="AV551" i="13"/>
  <c r="DV49" i="4"/>
  <c r="BH49" i="4"/>
  <c r="BL49" i="4"/>
  <c r="BM49" i="4" s="1"/>
  <c r="BE49" i="4" s="1" a="1"/>
  <c r="BE49" i="4" s="1"/>
  <c r="AL60" i="4"/>
  <c r="I60" i="72" s="1"/>
  <c r="BG41" i="4"/>
  <c r="AV1139" i="13" s="1"/>
  <c r="X41" i="4"/>
  <c r="AD23" i="4"/>
  <c r="F23" i="69" s="1"/>
  <c r="BF51" i="4"/>
  <c r="BG43" i="4"/>
  <c r="AV1141" i="13" s="1"/>
  <c r="BG39" i="4"/>
  <c r="AV1137" i="13" s="1"/>
  <c r="BF33" i="4"/>
  <c r="BG12" i="4"/>
  <c r="AV1110" i="13" s="1"/>
  <c r="BF40" i="4"/>
  <c r="AW52" i="69"/>
  <c r="AN52" i="69"/>
  <c r="M52" i="69"/>
  <c r="J52" i="69"/>
  <c r="AM52" i="69"/>
  <c r="N52" i="69" a="1"/>
  <c r="N52" i="69" s="1"/>
  <c r="W52" i="69"/>
  <c r="BL52" i="69" s="1" a="1"/>
  <c r="BL52" i="69" s="1"/>
  <c r="P52" i="69"/>
  <c r="G52" i="69"/>
  <c r="Z52" i="69"/>
  <c r="O52" i="69"/>
  <c r="V52" i="69"/>
  <c r="B52" i="69" s="1"/>
  <c r="BF52" i="69"/>
  <c r="AA52" i="69"/>
  <c r="S52" i="69"/>
  <c r="BP52" i="69"/>
  <c r="A52" i="69"/>
  <c r="AC52" i="69"/>
  <c r="U52" i="69" a="1"/>
  <c r="U52" i="69" s="1"/>
  <c r="AX52" i="69"/>
  <c r="Y52" i="69"/>
  <c r="AB52" i="69" a="1"/>
  <c r="AB52" i="69" s="1"/>
  <c r="Q52" i="69"/>
  <c r="T52" i="69"/>
  <c r="N42" i="72" a="1"/>
  <c r="N42" i="72" s="1"/>
  <c r="P42" i="72"/>
  <c r="G42" i="72"/>
  <c r="AC42" i="72"/>
  <c r="BC42" i="72"/>
  <c r="Y42" i="72"/>
  <c r="M42" i="72"/>
  <c r="A42" i="72"/>
  <c r="U42" i="72" a="1"/>
  <c r="U42" i="72" s="1"/>
  <c r="Z42" i="72"/>
  <c r="BB42" i="72"/>
  <c r="T42" i="72"/>
  <c r="AB42" i="72" a="1"/>
  <c r="AB42" i="72" s="1"/>
  <c r="AS42" i="72"/>
  <c r="BU42" i="72"/>
  <c r="W42" i="72"/>
  <c r="BQ42" i="72" s="1" a="1"/>
  <c r="BQ42" i="72" s="1"/>
  <c r="Q42" i="72"/>
  <c r="AR42" i="72"/>
  <c r="S42" i="72"/>
  <c r="V42" i="72"/>
  <c r="B42" i="72" s="1"/>
  <c r="AA42" i="72"/>
  <c r="J42" i="72"/>
  <c r="Z89" i="4"/>
  <c r="AV1286" i="13" s="1"/>
  <c r="E89" i="4"/>
  <c r="BT89" i="4" s="1"/>
  <c r="DE89" i="4"/>
  <c r="AC71" i="69"/>
  <c r="P71" i="69"/>
  <c r="A71" i="69"/>
  <c r="AM71" i="69"/>
  <c r="J71" i="69"/>
  <c r="AX71" i="69"/>
  <c r="G71" i="69"/>
  <c r="Y71" i="69"/>
  <c r="Q71" i="69"/>
  <c r="Z71" i="69"/>
  <c r="BP71" i="69"/>
  <c r="V71" i="69"/>
  <c r="B71" i="69" s="1"/>
  <c r="AN71" i="69"/>
  <c r="AB71" i="69" a="1"/>
  <c r="AB71" i="69" s="1"/>
  <c r="AA71" i="69"/>
  <c r="L71" i="69"/>
  <c r="W71" i="69"/>
  <c r="T71" i="69"/>
  <c r="AW71" i="69"/>
  <c r="S71" i="69"/>
  <c r="M71" i="69"/>
  <c r="N71" i="69" a="1"/>
  <c r="N71" i="69" s="1"/>
  <c r="AA74" i="72"/>
  <c r="W74" i="72"/>
  <c r="L74" i="72" s="1"/>
  <c r="V74" i="72"/>
  <c r="B74" i="72" s="1"/>
  <c r="Q74" i="72"/>
  <c r="A74" i="72"/>
  <c r="S74" i="72"/>
  <c r="J74" i="72"/>
  <c r="M74" i="72"/>
  <c r="AS74" i="72"/>
  <c r="AR74" i="72"/>
  <c r="G74" i="72"/>
  <c r="Z74" i="72"/>
  <c r="BB74" i="72"/>
  <c r="BC74" i="72"/>
  <c r="AC74" i="72"/>
  <c r="Y74" i="72"/>
  <c r="N74" i="72" a="1"/>
  <c r="N74" i="72" s="1"/>
  <c r="P74" i="72"/>
  <c r="BU74" i="72"/>
  <c r="AB74" i="72" a="1"/>
  <c r="AB74" i="72" s="1"/>
  <c r="T74" i="72"/>
  <c r="V71" i="72"/>
  <c r="B71" i="72" s="1"/>
  <c r="AS71" i="72"/>
  <c r="L71" i="72"/>
  <c r="Q71" i="72"/>
  <c r="G71" i="72"/>
  <c r="S71" i="72"/>
  <c r="J71" i="72"/>
  <c r="P71" i="72"/>
  <c r="M71" i="72"/>
  <c r="BB71" i="72"/>
  <c r="BC71" i="72"/>
  <c r="AR71" i="72"/>
  <c r="N71" i="72" a="1"/>
  <c r="N71" i="72" s="1"/>
  <c r="AC71" i="72"/>
  <c r="A71" i="72"/>
  <c r="AA71" i="72"/>
  <c r="Z71" i="72"/>
  <c r="Y71" i="72"/>
  <c r="W71" i="72"/>
  <c r="BQ71" i="72" s="1" a="1"/>
  <c r="BQ71" i="72" s="1"/>
  <c r="BU71" i="72"/>
  <c r="T71" i="72"/>
  <c r="AB71" i="72" a="1"/>
  <c r="AB71" i="72" s="1"/>
  <c r="F93" i="72"/>
  <c r="AW64" i="69"/>
  <c r="S64" i="69"/>
  <c r="A64" i="69"/>
  <c r="AA64" i="69"/>
  <c r="P64" i="69"/>
  <c r="W64" i="69"/>
  <c r="M64" i="69"/>
  <c r="AM64" i="69"/>
  <c r="BP64" i="69"/>
  <c r="V64" i="69"/>
  <c r="B64" i="69" s="1"/>
  <c r="Z64" i="69"/>
  <c r="AX64" i="69"/>
  <c r="L64" i="69"/>
  <c r="T64" i="69"/>
  <c r="N64" i="69" a="1"/>
  <c r="N64" i="69" s="1"/>
  <c r="AB64" i="69" a="1"/>
  <c r="AB64" i="69" s="1"/>
  <c r="Y64" i="69"/>
  <c r="Q64" i="69"/>
  <c r="AN64" i="69"/>
  <c r="AC64" i="69"/>
  <c r="J64" i="69"/>
  <c r="G64" i="69"/>
  <c r="U64" i="69" a="1"/>
  <c r="U64" i="69" s="1"/>
  <c r="P39" i="72"/>
  <c r="AR39" i="72"/>
  <c r="W39" i="72"/>
  <c r="BQ39" i="72" s="1" a="1"/>
  <c r="BQ39" i="72" s="1"/>
  <c r="Z39" i="72"/>
  <c r="AS39" i="72"/>
  <c r="M39" i="72"/>
  <c r="AB39" i="72" a="1"/>
  <c r="AB39" i="72" s="1"/>
  <c r="Y39" i="72"/>
  <c r="V39" i="72"/>
  <c r="B39" i="72" s="1"/>
  <c r="AA39" i="72"/>
  <c r="G39" i="72"/>
  <c r="T39" i="72"/>
  <c r="J39" i="72"/>
  <c r="BU39" i="72"/>
  <c r="BC39" i="72"/>
  <c r="S39" i="72"/>
  <c r="N39" i="72" a="1"/>
  <c r="N39" i="72" s="1"/>
  <c r="U39" i="72" a="1"/>
  <c r="U39" i="72" s="1"/>
  <c r="Q39" i="72"/>
  <c r="BB39" i="72"/>
  <c r="AC39" i="72"/>
  <c r="A39" i="72"/>
  <c r="AX1311" i="13"/>
  <c r="A1410" i="13"/>
  <c r="A29" i="72"/>
  <c r="BU29" i="72"/>
  <c r="U29" i="72" a="1"/>
  <c r="U29" i="72" s="1"/>
  <c r="AC29" i="72"/>
  <c r="AR29" i="72"/>
  <c r="Q29" i="72"/>
  <c r="T29" i="72"/>
  <c r="S29" i="72"/>
  <c r="Y29" i="72"/>
  <c r="P29" i="72"/>
  <c r="G29" i="72"/>
  <c r="J29" i="72"/>
  <c r="Z29" i="72"/>
  <c r="AB29" i="72" a="1"/>
  <c r="AB29" i="72" s="1"/>
  <c r="BB29" i="72"/>
  <c r="BC29" i="72"/>
  <c r="N29" i="72" a="1"/>
  <c r="N29" i="72" s="1"/>
  <c r="V29" i="72"/>
  <c r="B29" i="72" s="1"/>
  <c r="AS29" i="72"/>
  <c r="L29" i="72"/>
  <c r="AA29" i="72"/>
  <c r="W29" i="72"/>
  <c r="BP29" i="72" s="1"/>
  <c r="M29" i="72"/>
  <c r="J33" i="69"/>
  <c r="A33" i="69"/>
  <c r="T33" i="69"/>
  <c r="G33" i="69"/>
  <c r="BP33" i="69"/>
  <c r="U33" i="69" a="1"/>
  <c r="U33" i="69" s="1"/>
  <c r="S33" i="69"/>
  <c r="AC33" i="69"/>
  <c r="AB33" i="69" a="1"/>
  <c r="AB33" i="69" s="1"/>
  <c r="AN33" i="69"/>
  <c r="AA33" i="69"/>
  <c r="N33" i="69" a="1"/>
  <c r="N33" i="69" s="1"/>
  <c r="AW33" i="69"/>
  <c r="Y33" i="69"/>
  <c r="AM33" i="69"/>
  <c r="M33" i="69"/>
  <c r="P33" i="69"/>
  <c r="Z33" i="69"/>
  <c r="AX33" i="69"/>
  <c r="W33" i="69"/>
  <c r="BL33" i="69" s="1" a="1"/>
  <c r="BL33" i="69" s="1"/>
  <c r="V33" i="69"/>
  <c r="B33" i="69" s="1"/>
  <c r="Q33" i="69"/>
  <c r="BD33" i="69"/>
  <c r="AH67" i="4"/>
  <c r="AV1363" i="13" s="1"/>
  <c r="Y66" i="72"/>
  <c r="S66" i="72"/>
  <c r="A66" i="72"/>
  <c r="BU66" i="72"/>
  <c r="P66" i="72"/>
  <c r="V66" i="72"/>
  <c r="B66" i="72" s="1"/>
  <c r="BB66" i="72"/>
  <c r="Z66" i="72"/>
  <c r="U66" i="72" a="1"/>
  <c r="U66" i="72" s="1"/>
  <c r="J66" i="72"/>
  <c r="Q66" i="72"/>
  <c r="M66" i="72"/>
  <c r="BC66" i="72"/>
  <c r="AR66" i="72"/>
  <c r="AA66" i="72"/>
  <c r="T66" i="72"/>
  <c r="W66" i="72"/>
  <c r="BQ66" i="72" s="1" a="1"/>
  <c r="BQ66" i="72" s="1"/>
  <c r="AC66" i="72"/>
  <c r="N66" i="72" a="1"/>
  <c r="N66" i="72" s="1"/>
  <c r="AS66" i="72"/>
  <c r="AB66" i="72" a="1"/>
  <c r="AB66" i="72" s="1"/>
  <c r="L66" i="72"/>
  <c r="AX1367" i="13"/>
  <c r="A1466" i="13"/>
  <c r="Z32" i="72"/>
  <c r="AR32" i="72"/>
  <c r="L32" i="72"/>
  <c r="A32" i="72"/>
  <c r="Y32" i="72"/>
  <c r="W32" i="72"/>
  <c r="BP32" i="72" s="1"/>
  <c r="Q32" i="72"/>
  <c r="AA32" i="72"/>
  <c r="BU32" i="72"/>
  <c r="AC32" i="72"/>
  <c r="BC32" i="72"/>
  <c r="AB32" i="72" a="1"/>
  <c r="AB32" i="72" s="1"/>
  <c r="P32" i="72"/>
  <c r="N32" i="72" a="1"/>
  <c r="N32" i="72" s="1"/>
  <c r="S32" i="72"/>
  <c r="T32" i="72"/>
  <c r="M32" i="72"/>
  <c r="J32" i="72"/>
  <c r="BB32" i="72"/>
  <c r="AS32" i="72"/>
  <c r="G32" i="72"/>
  <c r="U32" i="72" a="1"/>
  <c r="U32" i="72" s="1"/>
  <c r="V32" i="72"/>
  <c r="B32" i="72" s="1"/>
  <c r="AL67" i="4"/>
  <c r="AX91" i="69"/>
  <c r="S91" i="69"/>
  <c r="BP91" i="69"/>
  <c r="AM91" i="69"/>
  <c r="G91" i="69"/>
  <c r="AA91" i="69"/>
  <c r="A91" i="69"/>
  <c r="AB91" i="69" a="1"/>
  <c r="AB91" i="69" s="1"/>
  <c r="AN91" i="69"/>
  <c r="V91" i="69"/>
  <c r="B91" i="69" s="1"/>
  <c r="AW91" i="69"/>
  <c r="Q91" i="69"/>
  <c r="N91" i="69" a="1"/>
  <c r="N91" i="69" s="1"/>
  <c r="Z91" i="69"/>
  <c r="W91" i="69"/>
  <c r="BK91" i="69" s="1"/>
  <c r="T91" i="69"/>
  <c r="Y91" i="69"/>
  <c r="J91" i="69"/>
  <c r="P91" i="69"/>
  <c r="U91" i="69" a="1"/>
  <c r="U91" i="69" s="1"/>
  <c r="AC91" i="69"/>
  <c r="M91" i="69"/>
  <c r="Z57" i="4"/>
  <c r="AV1254" i="13" s="1"/>
  <c r="F70" i="15" a="1"/>
  <c r="F70" i="15" s="1"/>
  <c r="AB12" i="72" a="1"/>
  <c r="AB12" i="72" s="1"/>
  <c r="V12" i="72"/>
  <c r="B12" i="72" s="1"/>
  <c r="L12" i="72"/>
  <c r="G12" i="72"/>
  <c r="A12" i="72"/>
  <c r="AC12" i="72"/>
  <c r="U12" i="72" a="1"/>
  <c r="U12" i="72" s="1"/>
  <c r="N12" i="72" a="1"/>
  <c r="N12" i="72" s="1"/>
  <c r="Z12" i="72"/>
  <c r="Q12" i="72"/>
  <c r="S12" i="72"/>
  <c r="P12" i="72"/>
  <c r="Y12" i="72"/>
  <c r="J12" i="72"/>
  <c r="K12" i="72" a="1"/>
  <c r="K12" i="72" s="1"/>
  <c r="W12" i="72"/>
  <c r="BQ12" i="72" s="1" a="1"/>
  <c r="BQ12" i="72" s="1"/>
  <c r="M12" i="72"/>
  <c r="BU12" i="72"/>
  <c r="AA12" i="72"/>
  <c r="BB12" i="72"/>
  <c r="BC12" i="72"/>
  <c r="AR12" i="72"/>
  <c r="T12" i="72"/>
  <c r="AS12" i="72"/>
  <c r="DA67" i="4" a="1"/>
  <c r="DA67" i="4" s="1"/>
  <c r="V65" i="72"/>
  <c r="B65" i="72" s="1"/>
  <c r="T65" i="72"/>
  <c r="N65" i="72" a="1"/>
  <c r="N65" i="72" s="1"/>
  <c r="AR65" i="72"/>
  <c r="J65" i="72"/>
  <c r="U65" i="72" a="1"/>
  <c r="U65" i="72" s="1"/>
  <c r="A65" i="72"/>
  <c r="BU65" i="72"/>
  <c r="P65" i="72"/>
  <c r="AA65" i="72"/>
  <c r="M65" i="72"/>
  <c r="S65" i="72"/>
  <c r="Y65" i="72"/>
  <c r="BC65" i="72"/>
  <c r="AS65" i="72"/>
  <c r="BB65" i="72"/>
  <c r="G65" i="72"/>
  <c r="Q65" i="72"/>
  <c r="AC65" i="72"/>
  <c r="Z65" i="72"/>
  <c r="AB65" i="72" a="1"/>
  <c r="AB65" i="72" s="1"/>
  <c r="W65" i="72"/>
  <c r="F37" i="72"/>
  <c r="AD69" i="4"/>
  <c r="AX1316" i="13"/>
  <c r="A1415" i="13"/>
  <c r="L93" i="72"/>
  <c r="BC93" i="72"/>
  <c r="V93" i="72"/>
  <c r="B93" i="72" s="1"/>
  <c r="AC93" i="72"/>
  <c r="Z93" i="72"/>
  <c r="P93" i="72"/>
  <c r="A93" i="72"/>
  <c r="T93" i="72"/>
  <c r="BB93" i="72"/>
  <c r="AB93" i="72" a="1"/>
  <c r="AB93" i="72" s="1"/>
  <c r="N93" i="72" a="1"/>
  <c r="N93" i="72" s="1"/>
  <c r="AA93" i="72"/>
  <c r="W93" i="72"/>
  <c r="BP93" i="72" s="1"/>
  <c r="G93" i="72"/>
  <c r="J93" i="72"/>
  <c r="AS93" i="72"/>
  <c r="M93" i="72"/>
  <c r="Q93" i="72"/>
  <c r="BU93" i="72"/>
  <c r="Y93" i="72"/>
  <c r="AR93" i="72"/>
  <c r="S93" i="72"/>
  <c r="N81" i="72" a="1"/>
  <c r="N81" i="72" s="1"/>
  <c r="J81" i="72"/>
  <c r="Y81" i="72"/>
  <c r="Q81" i="72"/>
  <c r="W81" i="72"/>
  <c r="BQ81" i="72" s="1" a="1"/>
  <c r="BQ81" i="72" s="1"/>
  <c r="BB81" i="72"/>
  <c r="A81" i="72"/>
  <c r="AB81" i="72" a="1"/>
  <c r="AB81" i="72" s="1"/>
  <c r="AS81" i="72"/>
  <c r="AA81" i="72"/>
  <c r="G81" i="72"/>
  <c r="BU81" i="72"/>
  <c r="M81" i="72"/>
  <c r="BC81" i="72"/>
  <c r="AR81" i="72"/>
  <c r="V81" i="72"/>
  <c r="B81" i="72" s="1"/>
  <c r="Z81" i="72"/>
  <c r="AC81" i="72"/>
  <c r="P81" i="72"/>
  <c r="T81" i="72"/>
  <c r="S81" i="72"/>
  <c r="DA83" i="4" a="1"/>
  <c r="DA83" i="4" s="1"/>
  <c r="AR4" i="4"/>
  <c r="AQ4" i="4"/>
  <c r="T95" i="69"/>
  <c r="BN95" i="69" s="1"/>
  <c r="P47" i="9"/>
  <c r="N490" i="15" a="1"/>
  <c r="N490" i="15" s="1"/>
  <c r="M490" i="15" a="1"/>
  <c r="M490" i="15" s="1"/>
  <c r="L490" i="15" a="1"/>
  <c r="L490" i="15" s="1"/>
  <c r="T95" i="72"/>
  <c r="BS95" i="72" s="1"/>
  <c r="L474" i="15" a="1"/>
  <c r="L474" i="15" s="1"/>
  <c r="K474" i="15" a="1"/>
  <c r="K474" i="15" s="1"/>
  <c r="N474" i="15" a="1"/>
  <c r="N474" i="15" s="1"/>
  <c r="P64" i="9"/>
  <c r="E328" i="15"/>
  <c r="AH94" i="72"/>
  <c r="AE94" i="72" a="1"/>
  <c r="AE94" i="72" s="1"/>
  <c r="AT94" i="72" s="1" a="1"/>
  <c r="AT94" i="72" s="1"/>
  <c r="P12" i="9"/>
  <c r="E192" i="15"/>
  <c r="E289" i="15"/>
  <c r="E380" i="15"/>
  <c r="P23" i="9"/>
  <c r="AH95" i="72"/>
  <c r="BD53" i="4"/>
  <c r="BT53" i="4"/>
  <c r="DV28" i="4"/>
  <c r="AV530" i="13"/>
  <c r="BL28" i="4"/>
  <c r="BM28" i="4" s="1"/>
  <c r="BE28" i="4" s="1" a="1"/>
  <c r="BE28" i="4" s="1"/>
  <c r="BH28" i="4"/>
  <c r="CA45" i="4"/>
  <c r="Y45" i="4"/>
  <c r="AU45" i="4"/>
  <c r="AV45" i="4" a="1"/>
  <c r="AV45" i="4" s="1"/>
  <c r="C45" i="69" s="1"/>
  <c r="AT45" i="4" a="1"/>
  <c r="AT45" i="4" s="1"/>
  <c r="H45" i="69" s="1"/>
  <c r="BQ45" i="4"/>
  <c r="CY45" i="4"/>
  <c r="CZ45" i="4" s="1"/>
  <c r="AX1386" i="13"/>
  <c r="A1485" i="13"/>
  <c r="E298" i="15"/>
  <c r="F296" i="15" s="1" a="1"/>
  <c r="F296" i="15" s="1"/>
  <c r="AX1358" i="13"/>
  <c r="A1457" i="13"/>
  <c r="CW74" i="4"/>
  <c r="CX74" i="4" s="1"/>
  <c r="AK94" i="69" a="1"/>
  <c r="AK94" i="69" s="1"/>
  <c r="E88" i="4"/>
  <c r="BT88" i="4" s="1"/>
  <c r="DE88" i="4"/>
  <c r="P90" i="9"/>
  <c r="T94" i="69"/>
  <c r="BA94" i="69" s="1"/>
  <c r="AX262" i="13"/>
  <c r="A362" i="13"/>
  <c r="AX362" i="13" s="1"/>
  <c r="S95" i="72"/>
  <c r="AT58" i="69" a="1"/>
  <c r="AT58" i="69" s="1"/>
  <c r="F59" i="4"/>
  <c r="JO37" i="71"/>
  <c r="CW80" i="4"/>
  <c r="CX80" i="4" s="1"/>
  <c r="A1444" i="13"/>
  <c r="AX1345" i="13"/>
  <c r="DA86" i="4" a="1"/>
  <c r="DA86" i="4" s="1"/>
  <c r="BL22" i="4"/>
  <c r="BM22" i="4" s="1"/>
  <c r="BE22" i="4" s="1" a="1"/>
  <c r="BE22" i="4" s="1"/>
  <c r="DV22" i="4"/>
  <c r="BH22" i="4"/>
  <c r="AV524" i="13"/>
  <c r="DV34" i="4"/>
  <c r="BH34" i="4"/>
  <c r="BL34" i="4"/>
  <c r="BM34" i="4" s="1"/>
  <c r="BE34" i="4" s="1" a="1"/>
  <c r="BE34" i="4" s="1"/>
  <c r="AV536" i="13"/>
  <c r="F56" i="4"/>
  <c r="F14" i="27"/>
  <c r="E548" i="15"/>
  <c r="BE94" i="72"/>
  <c r="AX1322" i="13"/>
  <c r="A1421" i="13"/>
  <c r="AP68" i="4"/>
  <c r="AV370" i="13" s="1"/>
  <c r="AV470" i="13" s="1"/>
  <c r="BH8" i="4"/>
  <c r="BL8" i="4"/>
  <c r="BM8" i="4" s="1"/>
  <c r="BE8" i="4" s="1" a="1"/>
  <c r="BE8" i="4" s="1"/>
  <c r="AV510" i="13"/>
  <c r="DV8" i="4"/>
  <c r="BH5" i="4"/>
  <c r="DV5" i="4"/>
  <c r="AV507" i="13"/>
  <c r="BL5" i="4"/>
  <c r="BI5" i="72" s="1"/>
  <c r="AD60" i="4"/>
  <c r="F60" i="69" s="1"/>
  <c r="BF11" i="4"/>
  <c r="L16" i="4"/>
  <c r="BG16" i="4"/>
  <c r="AV1114" i="13" s="1"/>
  <c r="X16" i="4"/>
  <c r="AQ3" i="1" a="1"/>
  <c r="AQ3" i="1" s="1"/>
  <c r="AQ101" i="1" s="1"/>
  <c r="L36" i="4"/>
  <c r="X36" i="4"/>
  <c r="BG36" i="4"/>
  <c r="AV1134" i="13" s="1"/>
  <c r="BR36" i="4"/>
  <c r="O36" i="69" s="1"/>
  <c r="L49" i="4"/>
  <c r="BG49" i="4"/>
  <c r="AV1147" i="13" s="1"/>
  <c r="BR5" i="4"/>
  <c r="BK5" i="72" s="1"/>
  <c r="BG5" i="4"/>
  <c r="AV1103" i="13" s="1"/>
  <c r="X5" i="4"/>
  <c r="BR194" i="4"/>
  <c r="L46" i="4"/>
  <c r="X46" i="4"/>
  <c r="BG46" i="4"/>
  <c r="AV1144" i="13" s="1"/>
  <c r="BR46" i="4"/>
  <c r="BF54" i="4"/>
  <c r="BF4" i="69"/>
  <c r="O4" i="69"/>
  <c r="BK4" i="72"/>
  <c r="O4" i="72"/>
  <c r="F226" i="15" a="1"/>
  <c r="F226" i="15" s="1"/>
  <c r="J8" i="69"/>
  <c r="T8" i="69"/>
  <c r="V8" i="69"/>
  <c r="B8" i="69" s="1"/>
  <c r="BP8" i="69"/>
  <c r="AA8" i="69"/>
  <c r="AN8" i="69"/>
  <c r="AB8" i="69" a="1"/>
  <c r="AB8" i="69" s="1"/>
  <c r="K8" i="69" a="1"/>
  <c r="K8" i="69" s="1"/>
  <c r="U8" i="69" a="1"/>
  <c r="U8" i="69" s="1"/>
  <c r="Z8" i="69"/>
  <c r="M8" i="69"/>
  <c r="AC8" i="69"/>
  <c r="W8" i="69"/>
  <c r="L8" i="69" s="1"/>
  <c r="AX8" i="69"/>
  <c r="P8" i="69"/>
  <c r="A8" i="69"/>
  <c r="AW8" i="69"/>
  <c r="G8" i="69"/>
  <c r="Q8" i="69"/>
  <c r="S8" i="69"/>
  <c r="Y8" i="69"/>
  <c r="AM8" i="69"/>
  <c r="N8" i="69" a="1"/>
  <c r="N8" i="69" s="1"/>
  <c r="O8" i="69"/>
  <c r="BF8" i="69"/>
  <c r="AX4" i="72" a="1"/>
  <c r="AX4" i="72" s="1"/>
  <c r="AU4" i="72" a="1"/>
  <c r="AU4" i="72" s="1"/>
  <c r="AW4" i="72" a="1"/>
  <c r="AW4" i="72" s="1"/>
  <c r="AF4" i="72" a="1"/>
  <c r="AF4" i="72" s="1"/>
  <c r="AQ4" i="72" a="1"/>
  <c r="AQ4" i="72" s="1"/>
  <c r="AL4" i="72" a="1"/>
  <c r="AL4" i="72" s="1"/>
  <c r="AZ4" i="72" a="1"/>
  <c r="AZ4" i="72" s="1"/>
  <c r="BA4" i="72" a="1"/>
  <c r="BA4" i="72" s="1"/>
  <c r="AO4" i="72" a="1"/>
  <c r="AO4" i="72" s="1"/>
  <c r="AV4" i="72" a="1"/>
  <c r="AV4" i="72" s="1"/>
  <c r="AG4" i="72" a="1"/>
  <c r="AG4" i="72" s="1"/>
  <c r="V68" i="69"/>
  <c r="B68" i="69" s="1"/>
  <c r="Y68" i="69"/>
  <c r="AA68" i="69"/>
  <c r="AX68" i="69"/>
  <c r="W68" i="69"/>
  <c r="BK68" i="69" s="1"/>
  <c r="J68" i="69"/>
  <c r="Q68" i="69"/>
  <c r="BP68" i="69"/>
  <c r="P68" i="69"/>
  <c r="AW68" i="69"/>
  <c r="N68" i="69" a="1"/>
  <c r="N68" i="69" s="1"/>
  <c r="AN68" i="69"/>
  <c r="AB68" i="69" a="1"/>
  <c r="AB68" i="69" s="1"/>
  <c r="AM68" i="69"/>
  <c r="A68" i="69"/>
  <c r="T68" i="69"/>
  <c r="Z68" i="69"/>
  <c r="AC68" i="69"/>
  <c r="M68" i="69"/>
  <c r="G68" i="69"/>
  <c r="S68" i="69"/>
  <c r="A1425" i="13"/>
  <c r="AX1326" i="13"/>
  <c r="V79" i="69"/>
  <c r="B79" i="69" s="1"/>
  <c r="AM79" i="69"/>
  <c r="W79" i="69"/>
  <c r="BL79" i="69" s="1" a="1"/>
  <c r="BL79" i="69" s="1"/>
  <c r="N79" i="69" a="1"/>
  <c r="N79" i="69" s="1"/>
  <c r="AN79" i="69"/>
  <c r="P79" i="69"/>
  <c r="T79" i="69"/>
  <c r="Z79" i="69"/>
  <c r="U79" i="69" a="1"/>
  <c r="U79" i="69" s="1"/>
  <c r="G79" i="69"/>
  <c r="BP79" i="69"/>
  <c r="A79" i="69"/>
  <c r="AC79" i="69"/>
  <c r="AX79" i="69"/>
  <c r="Y79" i="69"/>
  <c r="J79" i="69"/>
  <c r="AW79" i="69"/>
  <c r="AB79" i="69" a="1"/>
  <c r="AB79" i="69" s="1"/>
  <c r="S79" i="69"/>
  <c r="AA79" i="69"/>
  <c r="Q79" i="69"/>
  <c r="M79" i="69"/>
  <c r="H79" i="69"/>
  <c r="C79" i="69"/>
  <c r="I54" i="72"/>
  <c r="F44" i="72"/>
  <c r="AX1323" i="13"/>
  <c r="A1422" i="13"/>
  <c r="AX1387" i="13"/>
  <c r="A1486" i="13"/>
  <c r="A24" i="69"/>
  <c r="AA24" i="69"/>
  <c r="AN24" i="69"/>
  <c r="AM24" i="69"/>
  <c r="P24" i="69"/>
  <c r="AX24" i="69"/>
  <c r="Z24" i="69"/>
  <c r="BP24" i="69"/>
  <c r="U24" i="69" a="1"/>
  <c r="U24" i="69" s="1"/>
  <c r="G24" i="69"/>
  <c r="Q24" i="69"/>
  <c r="T24" i="69"/>
  <c r="AB24" i="69" a="1"/>
  <c r="AB24" i="69" s="1"/>
  <c r="J24" i="69"/>
  <c r="Y24" i="69"/>
  <c r="L24" i="69"/>
  <c r="M24" i="69"/>
  <c r="S24" i="69"/>
  <c r="N24" i="69" a="1"/>
  <c r="N24" i="69" s="1"/>
  <c r="AC24" i="69"/>
  <c r="W24" i="69"/>
  <c r="BL24" i="69" s="1" a="1"/>
  <c r="BL24" i="69" s="1"/>
  <c r="V24" i="69"/>
  <c r="B24" i="69" s="1"/>
  <c r="AW24" i="69"/>
  <c r="N39" i="69" a="1"/>
  <c r="N39" i="69" s="1"/>
  <c r="S39" i="69"/>
  <c r="U39" i="69" a="1"/>
  <c r="U39" i="69" s="1"/>
  <c r="AW39" i="69"/>
  <c r="AX39" i="69"/>
  <c r="A39" i="69"/>
  <c r="M39" i="69"/>
  <c r="AB39" i="69" a="1"/>
  <c r="AB39" i="69" s="1"/>
  <c r="J39" i="69"/>
  <c r="Z39" i="69"/>
  <c r="AA39" i="69"/>
  <c r="Q39" i="69"/>
  <c r="BP39" i="69"/>
  <c r="W39" i="69"/>
  <c r="L39" i="69" s="1"/>
  <c r="Y39" i="69"/>
  <c r="V39" i="69"/>
  <c r="B39" i="69" s="1"/>
  <c r="T39" i="69"/>
  <c r="G39" i="69"/>
  <c r="P39" i="69"/>
  <c r="AN39" i="69"/>
  <c r="AM39" i="69"/>
  <c r="AC39" i="69"/>
  <c r="A1435" i="13"/>
  <c r="AX1336" i="13"/>
  <c r="I69" i="72"/>
  <c r="K480" i="15" a="1"/>
  <c r="K480" i="15" s="1"/>
  <c r="AH95" i="4"/>
  <c r="AV1391" i="13" s="1"/>
  <c r="BU24" i="72"/>
  <c r="N24" i="72" a="1"/>
  <c r="N24" i="72" s="1"/>
  <c r="Y24" i="72"/>
  <c r="AC24" i="72"/>
  <c r="J24" i="72"/>
  <c r="S24" i="72"/>
  <c r="AA24" i="72"/>
  <c r="BB24" i="72"/>
  <c r="Z24" i="72"/>
  <c r="U24" i="72" a="1"/>
  <c r="U24" i="72" s="1"/>
  <c r="Q24" i="72"/>
  <c r="A24" i="72"/>
  <c r="AS24" i="72"/>
  <c r="V24" i="72"/>
  <c r="B24" i="72" s="1"/>
  <c r="W24" i="72"/>
  <c r="BP24" i="72" s="1"/>
  <c r="T24" i="72"/>
  <c r="AB24" i="72" a="1"/>
  <c r="AB24" i="72" s="1"/>
  <c r="AR24" i="72"/>
  <c r="M24" i="72"/>
  <c r="BC24" i="72"/>
  <c r="L24" i="72"/>
  <c r="P24" i="72"/>
  <c r="G24" i="72"/>
  <c r="AM74" i="69"/>
  <c r="M74" i="69"/>
  <c r="Q74" i="69"/>
  <c r="AB74" i="69" a="1"/>
  <c r="AB74" i="69" s="1"/>
  <c r="BP74" i="69"/>
  <c r="S74" i="69"/>
  <c r="AC74" i="69"/>
  <c r="J74" i="69"/>
  <c r="AN74" i="69"/>
  <c r="W74" i="69"/>
  <c r="T74" i="69"/>
  <c r="A74" i="69"/>
  <c r="Z74" i="69"/>
  <c r="AX74" i="69"/>
  <c r="N74" i="69" a="1"/>
  <c r="N74" i="69" s="1"/>
  <c r="P74" i="69"/>
  <c r="G74" i="69"/>
  <c r="AW74" i="69"/>
  <c r="AA74" i="69"/>
  <c r="V74" i="69"/>
  <c r="B74" i="69" s="1"/>
  <c r="Y74" i="69"/>
  <c r="L74" i="69"/>
  <c r="F19" i="72"/>
  <c r="CW78" i="4"/>
  <c r="CX78" i="4" s="1"/>
  <c r="E78" i="4"/>
  <c r="BT78" i="4" s="1"/>
  <c r="DE78" i="4"/>
  <c r="DV96" i="4"/>
  <c r="AV598" i="13"/>
  <c r="BL96" i="4"/>
  <c r="BT11" i="4"/>
  <c r="BD11" i="4"/>
  <c r="BR11" i="4" s="1"/>
  <c r="AB64" i="72" a="1"/>
  <c r="AB64" i="72" s="1"/>
  <c r="A64" i="72"/>
  <c r="M64" i="72"/>
  <c r="AS64" i="72"/>
  <c r="T64" i="72"/>
  <c r="Z64" i="72"/>
  <c r="V64" i="72"/>
  <c r="B64" i="72" s="1"/>
  <c r="P64" i="72"/>
  <c r="J64" i="72"/>
  <c r="AC64" i="72"/>
  <c r="BU64" i="72"/>
  <c r="BB64" i="72"/>
  <c r="Q64" i="72"/>
  <c r="W64" i="72"/>
  <c r="BP64" i="72" s="1"/>
  <c r="BC64" i="72"/>
  <c r="AA64" i="72"/>
  <c r="AR64" i="72"/>
  <c r="L64" i="72"/>
  <c r="Y64" i="72"/>
  <c r="N64" i="72" a="1"/>
  <c r="N64" i="72" s="1"/>
  <c r="S64" i="72"/>
  <c r="G64" i="72"/>
  <c r="U64" i="72" a="1"/>
  <c r="U64" i="72" s="1"/>
  <c r="F38" i="72"/>
  <c r="BD23" i="4"/>
  <c r="BT23" i="4"/>
  <c r="AT4" i="72" a="1"/>
  <c r="AT4" i="72" s="1"/>
  <c r="Z83" i="4"/>
  <c r="AV1280" i="13" s="1"/>
  <c r="DE83" i="4"/>
  <c r="E83" i="4"/>
  <c r="E57" i="15"/>
  <c r="AX59" i="69"/>
  <c r="J59" i="69"/>
  <c r="AB59" i="69" a="1"/>
  <c r="AB59" i="69" s="1"/>
  <c r="V59" i="69"/>
  <c r="B59" i="69" s="1"/>
  <c r="M59" i="69"/>
  <c r="AM59" i="69"/>
  <c r="G59" i="69"/>
  <c r="AN59" i="69"/>
  <c r="Q59" i="69"/>
  <c r="U59" i="69" a="1"/>
  <c r="U59" i="69" s="1"/>
  <c r="T59" i="69"/>
  <c r="Z59" i="69"/>
  <c r="P59" i="69"/>
  <c r="Y59" i="69"/>
  <c r="W59" i="69"/>
  <c r="AC59" i="69"/>
  <c r="A59" i="69"/>
  <c r="AA59" i="69"/>
  <c r="AW59" i="69"/>
  <c r="BP59" i="69"/>
  <c r="N59" i="69" a="1"/>
  <c r="N59" i="69" s="1"/>
  <c r="S59" i="69"/>
  <c r="F241" i="15" a="1"/>
  <c r="F241" i="15" s="1"/>
  <c r="H241" i="15" a="1"/>
  <c r="H241" i="15" s="1"/>
  <c r="CW93" i="4"/>
  <c r="CX93" i="4" s="1"/>
  <c r="DE93" i="4"/>
  <c r="E93" i="4"/>
  <c r="BT93" i="4" s="1"/>
  <c r="U38" i="72" a="1"/>
  <c r="U38" i="72" s="1"/>
  <c r="AS38" i="72"/>
  <c r="V38" i="72"/>
  <c r="B38" i="72" s="1"/>
  <c r="L38" i="72"/>
  <c r="AC38" i="72"/>
  <c r="J38" i="72"/>
  <c r="AA38" i="72"/>
  <c r="Q38" i="72"/>
  <c r="AR38" i="72"/>
  <c r="A38" i="72"/>
  <c r="BU38" i="72"/>
  <c r="Y38" i="72"/>
  <c r="T38" i="72"/>
  <c r="BB38" i="72"/>
  <c r="BC38" i="72"/>
  <c r="S38" i="72"/>
  <c r="M38" i="72"/>
  <c r="AB38" i="72" a="1"/>
  <c r="AB38" i="72" s="1"/>
  <c r="P38" i="72"/>
  <c r="Z38" i="72"/>
  <c r="W38" i="72"/>
  <c r="N38" i="72" a="1"/>
  <c r="N38" i="72" s="1"/>
  <c r="G38" i="72"/>
  <c r="AC33" i="72"/>
  <c r="AR33" i="72"/>
  <c r="BB33" i="72"/>
  <c r="T33" i="72"/>
  <c r="N33" i="72" a="1"/>
  <c r="N33" i="72" s="1"/>
  <c r="AA33" i="72"/>
  <c r="BC33" i="72"/>
  <c r="W33" i="72"/>
  <c r="L33" i="72" s="1"/>
  <c r="Q33" i="72"/>
  <c r="M33" i="72"/>
  <c r="A33" i="72"/>
  <c r="BU33" i="72"/>
  <c r="Z33" i="72"/>
  <c r="P33" i="72"/>
  <c r="G33" i="72"/>
  <c r="J33" i="72"/>
  <c r="S33" i="72"/>
  <c r="V33" i="72"/>
  <c r="B33" i="72" s="1"/>
  <c r="AS33" i="72"/>
  <c r="Y33" i="72"/>
  <c r="AB33" i="72" a="1"/>
  <c r="AB33" i="72" s="1"/>
  <c r="U33" i="72" a="1"/>
  <c r="U33" i="72" s="1"/>
  <c r="BI33" i="72"/>
  <c r="F30" i="72"/>
  <c r="BF3" i="69"/>
  <c r="O3" i="69"/>
  <c r="O3" i="72"/>
  <c r="BK3" i="72"/>
  <c r="N66" i="69" a="1"/>
  <c r="N66" i="69" s="1"/>
  <c r="Z66" i="69"/>
  <c r="V66" i="69"/>
  <c r="B66" i="69" s="1"/>
  <c r="L66" i="69"/>
  <c r="AA66" i="69"/>
  <c r="A66" i="69"/>
  <c r="P66" i="69"/>
  <c r="S66" i="69"/>
  <c r="AM66" i="69"/>
  <c r="Y66" i="69"/>
  <c r="AC66" i="69"/>
  <c r="U66" i="69" a="1"/>
  <c r="U66" i="69" s="1"/>
  <c r="J66" i="69"/>
  <c r="AB66" i="69" a="1"/>
  <c r="AB66" i="69" s="1"/>
  <c r="AX66" i="69"/>
  <c r="W66" i="69"/>
  <c r="Q66" i="69"/>
  <c r="BP66" i="69"/>
  <c r="M66" i="69"/>
  <c r="AW66" i="69"/>
  <c r="AN66" i="69"/>
  <c r="T66" i="69"/>
  <c r="AD83" i="4"/>
  <c r="F86" i="72"/>
  <c r="BT51" i="4"/>
  <c r="BD51" i="4"/>
  <c r="X51" i="4" s="1"/>
  <c r="V32" i="69"/>
  <c r="B32" i="69" s="1"/>
  <c r="M32" i="69"/>
  <c r="AX32" i="69"/>
  <c r="N32" i="69" a="1"/>
  <c r="N32" i="69" s="1"/>
  <c r="AB32" i="69" a="1"/>
  <c r="AB32" i="69" s="1"/>
  <c r="Z32" i="69"/>
  <c r="AA32" i="69"/>
  <c r="G32" i="69"/>
  <c r="T32" i="69"/>
  <c r="P32" i="69"/>
  <c r="A32" i="69"/>
  <c r="S32" i="69"/>
  <c r="AM32" i="69"/>
  <c r="J32" i="69"/>
  <c r="W32" i="69"/>
  <c r="BL32" i="69" s="1" a="1"/>
  <c r="BL32" i="69" s="1"/>
  <c r="U32" i="69" a="1"/>
  <c r="U32" i="69" s="1"/>
  <c r="Q32" i="69"/>
  <c r="Y32" i="69"/>
  <c r="AC32" i="69"/>
  <c r="AN32" i="69"/>
  <c r="AW32" i="69"/>
  <c r="L32" i="69"/>
  <c r="BP32" i="69"/>
  <c r="C32" i="69"/>
  <c r="I28" i="72"/>
  <c r="AC91" i="72"/>
  <c r="N91" i="72" a="1"/>
  <c r="N91" i="72" s="1"/>
  <c r="Y91" i="72"/>
  <c r="AA91" i="72"/>
  <c r="Q91" i="72"/>
  <c r="S91" i="72"/>
  <c r="AR91" i="72"/>
  <c r="G91" i="72"/>
  <c r="M91" i="72"/>
  <c r="AB91" i="72" a="1"/>
  <c r="AB91" i="72" s="1"/>
  <c r="BC91" i="72"/>
  <c r="W91" i="72"/>
  <c r="BQ91" i="72" s="1" a="1"/>
  <c r="BQ91" i="72" s="1"/>
  <c r="AS91" i="72"/>
  <c r="T91" i="72"/>
  <c r="BB91" i="72"/>
  <c r="P91" i="72"/>
  <c r="BU91" i="72"/>
  <c r="U91" i="72" a="1"/>
  <c r="U91" i="72" s="1"/>
  <c r="Z91" i="72"/>
  <c r="V91" i="72"/>
  <c r="B91" i="72" s="1"/>
  <c r="J91" i="72"/>
  <c r="A91" i="72"/>
  <c r="H91" i="72"/>
  <c r="Y4" i="4"/>
  <c r="AU4" i="4"/>
  <c r="AV4" i="4" a="1"/>
  <c r="AV4" i="4" s="1"/>
  <c r="AT4" i="4" a="1"/>
  <c r="AT4" i="4" s="1"/>
  <c r="CA4" i="4"/>
  <c r="CY4" i="4"/>
  <c r="CZ4" i="4" s="1"/>
  <c r="BQ4" i="4"/>
  <c r="F91" i="15" a="1"/>
  <c r="F91" i="15" s="1"/>
  <c r="AB84" i="72" a="1"/>
  <c r="AB84" i="72" s="1"/>
  <c r="Q84" i="72"/>
  <c r="Y84" i="72"/>
  <c r="AA84" i="72"/>
  <c r="M84" i="72"/>
  <c r="AC84" i="72"/>
  <c r="A84" i="72"/>
  <c r="BU84" i="72"/>
  <c r="BC84" i="72"/>
  <c r="AS84" i="72"/>
  <c r="AR84" i="72"/>
  <c r="V84" i="72"/>
  <c r="B84" i="72" s="1"/>
  <c r="W84" i="72"/>
  <c r="L84" i="72" s="1"/>
  <c r="P84" i="72"/>
  <c r="Z84" i="72"/>
  <c r="G84" i="72"/>
  <c r="J84" i="72"/>
  <c r="N84" i="72" a="1"/>
  <c r="N84" i="72" s="1"/>
  <c r="BB84" i="72"/>
  <c r="T84" i="72"/>
  <c r="S84" i="72"/>
  <c r="BP57" i="69"/>
  <c r="J57" i="69"/>
  <c r="W57" i="69"/>
  <c r="BL57" i="69" s="1" a="1"/>
  <c r="BL57" i="69" s="1"/>
  <c r="AC57" i="69"/>
  <c r="V57" i="69"/>
  <c r="M57" i="69"/>
  <c r="AW57" i="69"/>
  <c r="AM57" i="69"/>
  <c r="AA57" i="69"/>
  <c r="Y57" i="69"/>
  <c r="AN57" i="69"/>
  <c r="AX57" i="69"/>
  <c r="G57" i="69"/>
  <c r="AB57" i="69" a="1"/>
  <c r="AB57" i="69" s="1"/>
  <c r="A57" i="69"/>
  <c r="T57" i="69"/>
  <c r="P57" i="69"/>
  <c r="Z57" i="69"/>
  <c r="N57" i="69" a="1"/>
  <c r="N57" i="69" s="1"/>
  <c r="Q57" i="69"/>
  <c r="I78" i="69"/>
  <c r="F52" i="72"/>
  <c r="Z78" i="4"/>
  <c r="AV1275" i="13" s="1"/>
  <c r="F34" i="72"/>
  <c r="AX1385" i="13"/>
  <c r="A1484" i="13"/>
  <c r="AL83" i="4"/>
  <c r="A1401" i="13"/>
  <c r="AX1302" i="13"/>
  <c r="AX31" i="69"/>
  <c r="W31" i="69"/>
  <c r="BL31" i="69" s="1" a="1"/>
  <c r="BL31" i="69" s="1"/>
  <c r="Z31" i="69"/>
  <c r="Y31" i="69"/>
  <c r="BD31" i="69"/>
  <c r="A31" i="69"/>
  <c r="V31" i="69"/>
  <c r="B31" i="69" s="1"/>
  <c r="L31" i="69"/>
  <c r="U31" i="69" a="1"/>
  <c r="U31" i="69" s="1"/>
  <c r="AN31" i="69"/>
  <c r="AB31" i="69" a="1"/>
  <c r="AB31" i="69" s="1"/>
  <c r="T31" i="69"/>
  <c r="AC31" i="69"/>
  <c r="AA31" i="69"/>
  <c r="S31" i="69"/>
  <c r="BP31" i="69"/>
  <c r="AM31" i="69"/>
  <c r="J31" i="69"/>
  <c r="P31" i="69"/>
  <c r="AW31" i="69"/>
  <c r="G31" i="69"/>
  <c r="M31" i="69"/>
  <c r="Q31" i="69"/>
  <c r="N31" i="69" a="1"/>
  <c r="N31" i="69" s="1"/>
  <c r="AD67" i="4"/>
  <c r="F43" i="72"/>
  <c r="AD59" i="4"/>
  <c r="AX1314" i="13"/>
  <c r="A1413" i="13"/>
  <c r="AG20" i="27"/>
  <c r="AJ20" i="27"/>
  <c r="JR37" i="71"/>
  <c r="JL37" i="71"/>
  <c r="P34" i="9"/>
  <c r="JI37" i="71"/>
  <c r="GO37" i="71"/>
  <c r="AZ94" i="69"/>
  <c r="E592" i="15"/>
  <c r="L588" i="15" s="1" a="1"/>
  <c r="L588" i="15" s="1"/>
  <c r="P14" i="9"/>
  <c r="E503" i="15"/>
  <c r="JC37" i="71"/>
  <c r="GX37" i="71"/>
  <c r="E73" i="15"/>
  <c r="BZ55" i="4" a="1"/>
  <c r="BZ55" i="4" s="1"/>
  <c r="BX55" i="4" s="1" a="1"/>
  <c r="BX55" i="4" s="1"/>
  <c r="BY55" i="4" a="1"/>
  <c r="BY55" i="4" s="1"/>
  <c r="AP61" i="4"/>
  <c r="AV363" i="13" s="1"/>
  <c r="AV463" i="13" s="1"/>
  <c r="DV45" i="4"/>
  <c r="AV547" i="13"/>
  <c r="BH45" i="4"/>
  <c r="BL45" i="4"/>
  <c r="BM45" i="4" s="1"/>
  <c r="BE45" i="4" s="1" a="1"/>
  <c r="BE45" i="4" s="1"/>
  <c r="BD43" i="4"/>
  <c r="X43" i="4" s="1"/>
  <c r="AX1382" i="13"/>
  <c r="A1481" i="13"/>
  <c r="A1442" i="13"/>
  <c r="AX1343" i="13"/>
  <c r="E400" i="15"/>
  <c r="P41" i="9"/>
  <c r="A257" i="13"/>
  <c r="AX157" i="13"/>
  <c r="A1473" i="13"/>
  <c r="AX1374" i="13"/>
  <c r="AV543" i="13"/>
  <c r="BL41" i="4"/>
  <c r="BM41" i="4" s="1"/>
  <c r="BE41" i="4" s="1" a="1"/>
  <c r="BE41" i="4" s="1"/>
  <c r="DV41" i="4"/>
  <c r="BH41" i="4"/>
  <c r="M58" i="72"/>
  <c r="AX1332" i="13"/>
  <c r="A1431" i="13"/>
  <c r="E94" i="4"/>
  <c r="BT94" i="4" s="1"/>
  <c r="DE94" i="4"/>
  <c r="P27" i="9"/>
  <c r="AV546" i="13"/>
  <c r="BH44" i="4"/>
  <c r="DV44" i="4"/>
  <c r="BL44" i="4"/>
  <c r="BM44" i="4" s="1"/>
  <c r="BE44" i="4" s="1" a="1"/>
  <c r="BE44" i="4" s="1"/>
  <c r="E270" i="15"/>
  <c r="H268" i="15" s="1" a="1"/>
  <c r="H268" i="15" s="1"/>
  <c r="BT33" i="4"/>
  <c r="BD33" i="4"/>
  <c r="BR33" i="4" s="1"/>
  <c r="DV11" i="4"/>
  <c r="AV513" i="13"/>
  <c r="BH11" i="4"/>
  <c r="BL11" i="4"/>
  <c r="BM11" i="4" s="1"/>
  <c r="BE11" i="4" s="1" a="1"/>
  <c r="BE11" i="4" s="1"/>
  <c r="E132" i="15"/>
  <c r="F172" i="15" a="1"/>
  <c r="F172" i="15" s="1"/>
  <c r="I16" i="27"/>
  <c r="AX1498" i="13"/>
  <c r="A1597" i="13"/>
  <c r="AX1597" i="13" s="1"/>
  <c r="AV1498" i="13"/>
  <c r="BH96" i="72"/>
  <c r="A1475" i="13"/>
  <c r="AX1376" i="13"/>
  <c r="A1470" i="13"/>
  <c r="AX1371" i="13"/>
  <c r="BR45" i="4"/>
  <c r="BK45" i="72" s="1"/>
  <c r="BG45" i="4"/>
  <c r="AV1143" i="13" s="1"/>
  <c r="X45" i="4"/>
  <c r="Z60" i="4"/>
  <c r="AV1257" i="13" s="1"/>
  <c r="X31" i="4"/>
  <c r="BG31" i="4"/>
  <c r="AV1129" i="13" s="1"/>
  <c r="BR31" i="4"/>
  <c r="BF31" i="69" s="1"/>
  <c r="Z23" i="4"/>
  <c r="AV1220" i="13" s="1"/>
  <c r="BG91" i="4"/>
  <c r="AV1189" i="13" s="1"/>
  <c r="BR91" i="4"/>
  <c r="O91" i="69" s="1"/>
  <c r="BF21" i="4"/>
  <c r="BF52" i="4"/>
  <c r="L19" i="4"/>
  <c r="BG19" i="4"/>
  <c r="AV1117" i="13" s="1"/>
  <c r="BR19" i="4"/>
  <c r="AD19" i="72" s="1"/>
  <c r="BG42" i="4"/>
  <c r="AV1140" i="13" s="1"/>
  <c r="X42" i="4"/>
  <c r="L54" i="4"/>
  <c r="BR54" i="4"/>
  <c r="BF54" i="69" s="1"/>
  <c r="BG54" i="4"/>
  <c r="AV1152" i="13" s="1"/>
  <c r="X54" i="4"/>
  <c r="L20" i="4"/>
  <c r="BR20" i="4"/>
  <c r="BK20" i="72" s="1"/>
  <c r="BG20" i="4"/>
  <c r="AV1118" i="13" s="1"/>
  <c r="X20" i="4"/>
  <c r="P52" i="72"/>
  <c r="AR52" i="72"/>
  <c r="Z52" i="72"/>
  <c r="J52" i="72"/>
  <c r="AB52" i="72" a="1"/>
  <c r="AB52" i="72" s="1"/>
  <c r="Y52" i="72"/>
  <c r="Q52" i="72"/>
  <c r="AA52" i="72"/>
  <c r="A52" i="72"/>
  <c r="N52" i="72" a="1"/>
  <c r="N52" i="72" s="1"/>
  <c r="T52" i="72"/>
  <c r="V52" i="72"/>
  <c r="B52" i="72" s="1"/>
  <c r="BC52" i="72"/>
  <c r="AC52" i="72"/>
  <c r="U52" i="72" a="1"/>
  <c r="U52" i="72" s="1"/>
  <c r="BB52" i="72"/>
  <c r="W52" i="72"/>
  <c r="BQ52" i="72" s="1" a="1"/>
  <c r="BQ52" i="72" s="1"/>
  <c r="AS52" i="72"/>
  <c r="O52" i="72"/>
  <c r="M52" i="72"/>
  <c r="S52" i="72"/>
  <c r="BK52" i="72"/>
  <c r="G52" i="72"/>
  <c r="BU52" i="72"/>
  <c r="T59" i="72"/>
  <c r="AS59" i="72"/>
  <c r="J59" i="72"/>
  <c r="P59" i="72"/>
  <c r="N59" i="72" a="1"/>
  <c r="N59" i="72" s="1"/>
  <c r="BC59" i="72"/>
  <c r="Q59" i="72"/>
  <c r="W59" i="72"/>
  <c r="L59" i="72" s="1"/>
  <c r="G59" i="72"/>
  <c r="BU59" i="72"/>
  <c r="Z59" i="72"/>
  <c r="Y59" i="72"/>
  <c r="BB59" i="72"/>
  <c r="AA59" i="72"/>
  <c r="U59" i="72" a="1"/>
  <c r="U59" i="72" s="1"/>
  <c r="V59" i="72"/>
  <c r="B59" i="72" s="1"/>
  <c r="A59" i="72"/>
  <c r="AC59" i="72"/>
  <c r="AR59" i="72"/>
  <c r="AB59" i="72" a="1"/>
  <c r="AB59" i="72" s="1"/>
  <c r="M59" i="72"/>
  <c r="S59" i="72"/>
  <c r="AX1384" i="13"/>
  <c r="A1483" i="13"/>
  <c r="A1440" i="13"/>
  <c r="AX1341" i="13"/>
  <c r="AH62" i="4"/>
  <c r="AV1358" i="13" s="1"/>
  <c r="E62" i="4"/>
  <c r="BT62" i="4" s="1"/>
  <c r="DE62" i="4"/>
  <c r="A38" i="69"/>
  <c r="S38" i="69"/>
  <c r="AA38" i="69"/>
  <c r="AB38" i="69" a="1"/>
  <c r="AB38" i="69" s="1"/>
  <c r="AM38" i="69"/>
  <c r="AW38" i="69"/>
  <c r="AC38" i="69"/>
  <c r="Y38" i="69"/>
  <c r="Z38" i="69"/>
  <c r="AX38" i="69"/>
  <c r="L38" i="69"/>
  <c r="T38" i="69"/>
  <c r="AN38" i="69"/>
  <c r="J38" i="69"/>
  <c r="N38" i="69" a="1"/>
  <c r="N38" i="69" s="1"/>
  <c r="W38" i="69"/>
  <c r="BK38" i="69" s="1"/>
  <c r="M38" i="69"/>
  <c r="BP38" i="69"/>
  <c r="U38" i="69" a="1"/>
  <c r="U38" i="69" s="1"/>
  <c r="Q38" i="69"/>
  <c r="V38" i="69"/>
  <c r="B38" i="69" s="1"/>
  <c r="G38" i="69"/>
  <c r="P38" i="69"/>
  <c r="W26" i="72"/>
  <c r="BP26" i="72" s="1"/>
  <c r="G26" i="72"/>
  <c r="AA26" i="72"/>
  <c r="AC26" i="72"/>
  <c r="J26" i="72"/>
  <c r="AR26" i="72"/>
  <c r="U26" i="72" a="1"/>
  <c r="U26" i="72" s="1"/>
  <c r="AS26" i="72"/>
  <c r="BB26" i="72"/>
  <c r="P26" i="72"/>
  <c r="AB26" i="72" a="1"/>
  <c r="AB26" i="72" s="1"/>
  <c r="L26" i="72"/>
  <c r="Z26" i="72"/>
  <c r="M26" i="72"/>
  <c r="N26" i="72" a="1"/>
  <c r="N26" i="72" s="1"/>
  <c r="BU26" i="72"/>
  <c r="T26" i="72"/>
  <c r="BC26" i="72"/>
  <c r="Y26" i="72"/>
  <c r="S26" i="72"/>
  <c r="V26" i="72"/>
  <c r="B26" i="72" s="1"/>
  <c r="A26" i="72"/>
  <c r="Q26" i="72"/>
  <c r="BI26" i="72"/>
  <c r="BQ26" i="72" a="1"/>
  <c r="BQ26" i="72" s="1"/>
  <c r="K509" i="15" a="1"/>
  <c r="K509" i="15" s="1"/>
  <c r="AX1318" i="13"/>
  <c r="A1417" i="13"/>
  <c r="AB17" i="72" a="1"/>
  <c r="AB17" i="72" s="1"/>
  <c r="W17" i="72"/>
  <c r="L17" i="72" s="1"/>
  <c r="AR17" i="72"/>
  <c r="AS17" i="72"/>
  <c r="S17" i="72"/>
  <c r="T17" i="72"/>
  <c r="Z17" i="72"/>
  <c r="AA17" i="72"/>
  <c r="P17" i="72"/>
  <c r="J17" i="72"/>
  <c r="U17" i="72" a="1"/>
  <c r="U17" i="72" s="1"/>
  <c r="K17" i="72" a="1"/>
  <c r="K17" i="72" s="1"/>
  <c r="AC17" i="72"/>
  <c r="BC17" i="72"/>
  <c r="M17" i="72"/>
  <c r="BU17" i="72"/>
  <c r="G17" i="72"/>
  <c r="Q17" i="72"/>
  <c r="V17" i="72"/>
  <c r="B17" i="72" s="1"/>
  <c r="A17" i="72"/>
  <c r="Y17" i="72"/>
  <c r="BB17" i="72"/>
  <c r="N17" i="72" a="1"/>
  <c r="N17" i="72" s="1"/>
  <c r="BI17" i="72"/>
  <c r="AC42" i="69"/>
  <c r="AB42" i="69" a="1"/>
  <c r="AB42" i="69" s="1"/>
  <c r="M42" i="69"/>
  <c r="V42" i="69"/>
  <c r="B42" i="69" s="1"/>
  <c r="AN42" i="69"/>
  <c r="BP42" i="69"/>
  <c r="G42" i="69"/>
  <c r="Q42" i="69"/>
  <c r="AX42" i="69"/>
  <c r="AW42" i="69"/>
  <c r="AM42" i="69"/>
  <c r="P42" i="69"/>
  <c r="AA42" i="69"/>
  <c r="A42" i="69"/>
  <c r="J42" i="69"/>
  <c r="S42" i="69"/>
  <c r="T42" i="69"/>
  <c r="W42" i="69"/>
  <c r="Z42" i="69"/>
  <c r="Y42" i="69"/>
  <c r="U42" i="69" a="1"/>
  <c r="U42" i="69" s="1"/>
  <c r="N42" i="69" a="1"/>
  <c r="N42" i="69" s="1"/>
  <c r="BD42" i="69"/>
  <c r="S56" i="69"/>
  <c r="AB56" i="69" a="1"/>
  <c r="AB56" i="69" s="1"/>
  <c r="AN56" i="69"/>
  <c r="AM56" i="69"/>
  <c r="J56" i="69"/>
  <c r="Z56" i="69"/>
  <c r="N56" i="69" a="1"/>
  <c r="N56" i="69" s="1"/>
  <c r="BP56" i="69"/>
  <c r="AW56" i="69"/>
  <c r="L56" i="69"/>
  <c r="AC56" i="69"/>
  <c r="W56" i="69"/>
  <c r="BK56" i="69" s="1"/>
  <c r="AA56" i="69"/>
  <c r="Q56" i="69"/>
  <c r="A56" i="69"/>
  <c r="G56" i="69"/>
  <c r="M56" i="69"/>
  <c r="Y56" i="69"/>
  <c r="T56" i="69"/>
  <c r="P56" i="69"/>
  <c r="V56" i="69"/>
  <c r="B56" i="69" s="1"/>
  <c r="AX56" i="69"/>
  <c r="DE58" i="4"/>
  <c r="E58" i="4"/>
  <c r="AL58" i="4"/>
  <c r="AP58" i="4"/>
  <c r="AH58" i="4"/>
  <c r="AD58" i="4"/>
  <c r="Z58" i="4"/>
  <c r="F58" i="4"/>
  <c r="E76" i="4"/>
  <c r="BT76" i="4" s="1"/>
  <c r="DE76" i="4"/>
  <c r="AX84" i="69"/>
  <c r="J84" i="69"/>
  <c r="V84" i="69"/>
  <c r="B84" i="69" s="1"/>
  <c r="AN84" i="69"/>
  <c r="AA84" i="69"/>
  <c r="AW84" i="69"/>
  <c r="Q84" i="69"/>
  <c r="Z84" i="69"/>
  <c r="N84" i="69" a="1"/>
  <c r="N84" i="69" s="1"/>
  <c r="M84" i="69"/>
  <c r="A84" i="69"/>
  <c r="AB84" i="69" a="1"/>
  <c r="AB84" i="69" s="1"/>
  <c r="W84" i="69"/>
  <c r="L84" i="69" s="1"/>
  <c r="BP84" i="69"/>
  <c r="AM84" i="69"/>
  <c r="AC84" i="69"/>
  <c r="T84" i="69"/>
  <c r="G84" i="69"/>
  <c r="Y84" i="69"/>
  <c r="P84" i="69"/>
  <c r="S84" i="69"/>
  <c r="J57" i="72"/>
  <c r="V57" i="72"/>
  <c r="AB57" i="72" a="1"/>
  <c r="AB57" i="72" s="1"/>
  <c r="A57" i="72"/>
  <c r="BB57" i="72"/>
  <c r="AC57" i="72"/>
  <c r="AR57" i="72"/>
  <c r="T57" i="72"/>
  <c r="Y57" i="72"/>
  <c r="M57" i="72"/>
  <c r="W57" i="72"/>
  <c r="BQ57" i="72" s="1" a="1"/>
  <c r="BQ57" i="72" s="1"/>
  <c r="BU57" i="72"/>
  <c r="BC57" i="72"/>
  <c r="G57" i="72"/>
  <c r="AA57" i="72"/>
  <c r="Q57" i="72"/>
  <c r="AS57" i="72"/>
  <c r="N57" i="72" a="1"/>
  <c r="N57" i="72" s="1"/>
  <c r="P57" i="72"/>
  <c r="Z57" i="72"/>
  <c r="AL89" i="4"/>
  <c r="Y37" i="27"/>
  <c r="Y28" i="27"/>
  <c r="Y25" i="27"/>
  <c r="Y40" i="27"/>
  <c r="Y47" i="27"/>
  <c r="Y34" i="27"/>
  <c r="Y24" i="27"/>
  <c r="Y35" i="27"/>
  <c r="Y46" i="27"/>
  <c r="Y49" i="27"/>
  <c r="Y42" i="27"/>
  <c r="Y44" i="27"/>
  <c r="Y48" i="27"/>
  <c r="Y30" i="27"/>
  <c r="Y41" i="27"/>
  <c r="Y38" i="27"/>
  <c r="Y26" i="27"/>
  <c r="Y32" i="27"/>
  <c r="Y43" i="27"/>
  <c r="Y21" i="27"/>
  <c r="Y27" i="27"/>
  <c r="Y33" i="27"/>
  <c r="Y50" i="27"/>
  <c r="Y39" i="27"/>
  <c r="Y31" i="27"/>
  <c r="Y23" i="27"/>
  <c r="Y22" i="27"/>
  <c r="Y29" i="27"/>
  <c r="Y45" i="27"/>
  <c r="U20" i="27"/>
  <c r="Y20" i="27" s="1"/>
  <c r="Y36" i="27"/>
  <c r="H120" i="15" a="1"/>
  <c r="H120" i="15" s="1"/>
  <c r="BT49" i="4"/>
  <c r="BD49" i="4"/>
  <c r="X49" i="4" s="1"/>
  <c r="AX1320" i="13"/>
  <c r="A1419" i="13"/>
  <c r="AB43" i="69" a="1"/>
  <c r="AB43" i="69" s="1"/>
  <c r="T43" i="69"/>
  <c r="Q43" i="69"/>
  <c r="G43" i="69"/>
  <c r="AA43" i="69"/>
  <c r="AX43" i="69"/>
  <c r="J43" i="69"/>
  <c r="AC43" i="69"/>
  <c r="S43" i="69"/>
  <c r="V43" i="69"/>
  <c r="B43" i="69" s="1"/>
  <c r="AW43" i="69"/>
  <c r="AM43" i="69"/>
  <c r="Z43" i="69"/>
  <c r="Y43" i="69"/>
  <c r="BP43" i="69"/>
  <c r="W43" i="69"/>
  <c r="BK43" i="69" s="1"/>
  <c r="M43" i="69"/>
  <c r="U43" i="69" a="1"/>
  <c r="U43" i="69" s="1"/>
  <c r="P43" i="69"/>
  <c r="AN43" i="69"/>
  <c r="N43" i="69" a="1"/>
  <c r="N43" i="69" s="1"/>
  <c r="A43" i="69"/>
  <c r="F79" i="69"/>
  <c r="AX1334" i="13"/>
  <c r="A1433" i="13"/>
  <c r="N31" i="72" a="1"/>
  <c r="N31" i="72" s="1"/>
  <c r="V31" i="72"/>
  <c r="B31" i="72" s="1"/>
  <c r="M31" i="72"/>
  <c r="AC31" i="72"/>
  <c r="L31" i="72"/>
  <c r="AA31" i="72"/>
  <c r="BC31" i="72"/>
  <c r="T31" i="72"/>
  <c r="Z31" i="72"/>
  <c r="BI31" i="72"/>
  <c r="BU31" i="72"/>
  <c r="AS31" i="72"/>
  <c r="A31" i="72"/>
  <c r="AR31" i="72"/>
  <c r="G31" i="72"/>
  <c r="BB31" i="72"/>
  <c r="AB31" i="72" a="1"/>
  <c r="AB31" i="72" s="1"/>
  <c r="Y31" i="72"/>
  <c r="P31" i="72"/>
  <c r="J31" i="72"/>
  <c r="Q31" i="72"/>
  <c r="S31" i="72"/>
  <c r="U31" i="72" a="1"/>
  <c r="U31" i="72" s="1"/>
  <c r="W31" i="72"/>
  <c r="BP31" i="72" s="1"/>
  <c r="I13" i="72"/>
  <c r="U96" i="72" a="1"/>
  <c r="U96" i="72" s="1"/>
  <c r="E518" i="15"/>
  <c r="L516" i="15" s="1" a="1"/>
  <c r="L516" i="15" s="1"/>
  <c r="B95" i="69"/>
  <c r="E62" i="15"/>
  <c r="E523" i="15"/>
  <c r="L519" i="15" s="1" a="1"/>
  <c r="L519" i="15" s="1"/>
  <c r="S96" i="69"/>
  <c r="HM37" i="71"/>
  <c r="E88" i="15"/>
  <c r="F81" i="15" s="1" a="1"/>
  <c r="F81" i="15" s="1"/>
  <c r="IN37" i="71"/>
  <c r="E432" i="15"/>
  <c r="E262" i="15"/>
  <c r="P8" i="9"/>
  <c r="F102" i="15" a="1"/>
  <c r="F102" i="15" s="1"/>
  <c r="BL77" i="4"/>
  <c r="BM77" i="4" s="1"/>
  <c r="BE77" i="4" s="1" a="1"/>
  <c r="BE77" i="4" s="1"/>
  <c r="DV77" i="4"/>
  <c r="AV579" i="13"/>
  <c r="AX1330" i="13"/>
  <c r="A1429" i="13"/>
  <c r="AP74" i="4"/>
  <c r="AV376" i="13" s="1"/>
  <c r="AV476" i="13" s="1"/>
  <c r="T58" i="72"/>
  <c r="BS58" i="72" s="1"/>
  <c r="E446" i="15"/>
  <c r="H445" i="15" s="1" a="1"/>
  <c r="H445" i="15" s="1"/>
  <c r="K634" i="15" a="1"/>
  <c r="K634" i="15" s="1"/>
  <c r="BD15" i="4"/>
  <c r="DV32" i="4"/>
  <c r="BL32" i="4"/>
  <c r="BM32" i="4" s="1"/>
  <c r="BE32" i="4" s="1" a="1"/>
  <c r="BE32" i="4" s="1"/>
  <c r="BH32" i="4"/>
  <c r="AV534" i="13"/>
  <c r="BL51" i="4"/>
  <c r="BM51" i="4" s="1"/>
  <c r="BE51" i="4" s="1" a="1"/>
  <c r="BE51" i="4" s="1"/>
  <c r="AV553" i="13"/>
  <c r="DV51" i="4"/>
  <c r="BH51" i="4"/>
  <c r="CA42" i="4"/>
  <c r="Y42" i="4"/>
  <c r="AU42" i="4"/>
  <c r="AT42" i="4" a="1"/>
  <c r="AT42" i="4" s="1"/>
  <c r="H42" i="72" s="1"/>
  <c r="AV42" i="4" a="1"/>
  <c r="AV42" i="4" s="1"/>
  <c r="C42" i="69" s="1"/>
  <c r="BQ42" i="4"/>
  <c r="F92" i="4"/>
  <c r="U96" i="69" a="1"/>
  <c r="U96" i="69" s="1"/>
  <c r="P83" i="9"/>
  <c r="E506" i="15"/>
  <c r="S9" i="4"/>
  <c r="S11" i="4"/>
  <c r="Z1603" i="13"/>
  <c r="T11" i="4"/>
  <c r="T9" i="4"/>
  <c r="AM95" i="72"/>
  <c r="BF94" i="72"/>
  <c r="HY37" i="71"/>
  <c r="P76" i="9"/>
  <c r="E265" i="15"/>
  <c r="BD40" i="4"/>
  <c r="BR40" i="4" s="1"/>
  <c r="O40" i="69" s="1"/>
  <c r="F89" i="4"/>
  <c r="DA88" i="4" a="1"/>
  <c r="DA88" i="4" s="1"/>
  <c r="BD48" i="4"/>
  <c r="X48" i="4" s="1"/>
  <c r="CA8" i="4"/>
  <c r="AV8" i="4" a="1"/>
  <c r="AV8" i="4" s="1"/>
  <c r="C8" i="72" s="1"/>
  <c r="AT8" i="4" a="1"/>
  <c r="AT8" i="4" s="1"/>
  <c r="H8" i="72" s="1"/>
  <c r="Y8" i="4"/>
  <c r="AU8" i="4"/>
  <c r="BQ8" i="4"/>
  <c r="CY8" i="4"/>
  <c r="CZ8" i="4" s="1"/>
  <c r="BL20" i="4"/>
  <c r="BM20" i="4" s="1"/>
  <c r="BE20" i="4" s="1" a="1"/>
  <c r="BE20" i="4" s="1"/>
  <c r="AV522" i="13"/>
  <c r="BH20" i="4"/>
  <c r="DV20" i="4"/>
  <c r="DV91" i="4"/>
  <c r="AV593" i="13"/>
  <c r="BH91" i="4"/>
  <c r="BL91" i="4"/>
  <c r="BM91" i="4" s="1"/>
  <c r="BE91" i="4" s="1" a="1"/>
  <c r="BE91" i="4" s="1"/>
  <c r="F69" i="4"/>
  <c r="BR47" i="4"/>
  <c r="AD47" i="69" s="1"/>
  <c r="AH60" i="4"/>
  <c r="AV1356" i="13" s="1"/>
  <c r="BG7" i="4"/>
  <c r="AV1105" i="13" s="1"/>
  <c r="X7" i="4"/>
  <c r="BG21" i="4"/>
  <c r="AV1119" i="13" s="1"/>
  <c r="X21" i="4"/>
  <c r="BR21" i="4"/>
  <c r="O21" i="72" s="1"/>
  <c r="L52" i="4"/>
  <c r="BG52" i="4"/>
  <c r="AV1150" i="13" s="1"/>
  <c r="X52" i="4"/>
  <c r="L14" i="4"/>
  <c r="X14" i="4"/>
  <c r="BG14" i="4"/>
  <c r="AV1112" i="13" s="1"/>
  <c r="BR14" i="4"/>
  <c r="BK14" i="72" s="1"/>
  <c r="BB35" i="72"/>
  <c r="U35" i="72" a="1"/>
  <c r="U35" i="72" s="1"/>
  <c r="L35" i="72"/>
  <c r="T35" i="72"/>
  <c r="A35" i="72"/>
  <c r="AB35" i="72" a="1"/>
  <c r="AB35" i="72" s="1"/>
  <c r="AA35" i="72"/>
  <c r="Y35" i="72"/>
  <c r="G35" i="72"/>
  <c r="V35" i="72"/>
  <c r="B35" i="72" s="1"/>
  <c r="BU35" i="72"/>
  <c r="P35" i="72"/>
  <c r="M35" i="72"/>
  <c r="AS35" i="72"/>
  <c r="W35" i="72"/>
  <c r="BP35" i="72" s="1"/>
  <c r="BC35" i="72"/>
  <c r="Z35" i="72"/>
  <c r="Q35" i="72"/>
  <c r="N35" i="72" a="1"/>
  <c r="N35" i="72" s="1"/>
  <c r="J35" i="72"/>
  <c r="AR35" i="72"/>
  <c r="AC35" i="72"/>
  <c r="S35" i="72"/>
  <c r="BI35" i="72"/>
  <c r="AJ95" i="72"/>
  <c r="BE95" i="72"/>
  <c r="AR96" i="72"/>
  <c r="E435" i="15"/>
  <c r="E355" i="15"/>
  <c r="N560" i="15" a="1"/>
  <c r="N560" i="15" s="1"/>
  <c r="L560" i="15" a="1"/>
  <c r="L560" i="15" s="1"/>
  <c r="K560" i="15" a="1"/>
  <c r="K560" i="15" s="1"/>
  <c r="M560" i="15" a="1"/>
  <c r="M560" i="15" s="1"/>
  <c r="IW37" i="71"/>
  <c r="AH96" i="72"/>
  <c r="AE96" i="72" a="1"/>
  <c r="AE96" i="72" s="1"/>
  <c r="AP96" i="72" s="1" a="1"/>
  <c r="AP96" i="72" s="1"/>
  <c r="AY96" i="72" a="1"/>
  <c r="AY96" i="72" s="1"/>
  <c r="E79" i="15"/>
  <c r="E306" i="15"/>
  <c r="H304" i="15" s="1" a="1"/>
  <c r="H304" i="15" s="1"/>
  <c r="E326" i="15"/>
  <c r="E475" i="15"/>
  <c r="H471" i="15" s="1" a="1"/>
  <c r="H471" i="15" s="1"/>
  <c r="E552" i="15"/>
  <c r="L549" i="15" s="1" a="1"/>
  <c r="L549" i="15" s="1"/>
  <c r="P24" i="9"/>
  <c r="DV12" i="4"/>
  <c r="BL12" i="4"/>
  <c r="BM12" i="4" s="1"/>
  <c r="BE12" i="4" s="1" a="1"/>
  <c r="BE12" i="4" s="1"/>
  <c r="BH12" i="4"/>
  <c r="AV514" i="13"/>
  <c r="DV14" i="4"/>
  <c r="BL14" i="4"/>
  <c r="BM14" i="4" s="1"/>
  <c r="BE14" i="4" s="1" a="1"/>
  <c r="BE14" i="4" s="1"/>
  <c r="AV516" i="13"/>
  <c r="BH14" i="4"/>
  <c r="DA90" i="4" a="1"/>
  <c r="DA90" i="4" s="1"/>
  <c r="DE90" i="4"/>
  <c r="E90" i="4"/>
  <c r="BT90" i="4" s="1"/>
  <c r="AJ58" i="72"/>
  <c r="BE58" i="72"/>
  <c r="AG58" i="72" s="1" a="1"/>
  <c r="AG58" i="72" s="1"/>
  <c r="AX1377" i="13"/>
  <c r="A1476" i="13"/>
  <c r="N634" i="15" a="1"/>
  <c r="N634" i="15" s="1"/>
  <c r="AX1388" i="13"/>
  <c r="A1487" i="13"/>
  <c r="AL81" i="4"/>
  <c r="E81" i="4"/>
  <c r="BT81" i="4" s="1"/>
  <c r="DE81" i="4"/>
  <c r="AP94" i="4"/>
  <c r="CW94" i="4"/>
  <c r="CX94" i="4" s="1"/>
  <c r="DA77" i="4" a="1"/>
  <c r="DA77" i="4" s="1"/>
  <c r="E77" i="4"/>
  <c r="BH77" i="4" s="1"/>
  <c r="DE77" i="4"/>
  <c r="E379" i="15"/>
  <c r="F377" i="15" s="1" a="1"/>
  <c r="F377" i="15" s="1"/>
  <c r="DA85" i="4" a="1"/>
  <c r="DA85" i="4" s="1"/>
  <c r="BD37" i="4"/>
  <c r="A1439" i="13"/>
  <c r="AX1340" i="13"/>
  <c r="DA93" i="4" a="1"/>
  <c r="DA93" i="4" s="1"/>
  <c r="A1434" i="13"/>
  <c r="AX1335" i="13"/>
  <c r="AX1379" i="13"/>
  <c r="A1478" i="13"/>
  <c r="DA73" i="4" a="1"/>
  <c r="DA73" i="4" s="1"/>
  <c r="E73" i="4"/>
  <c r="BT73" i="4" s="1"/>
  <c r="DE73" i="4"/>
  <c r="AX225" i="13"/>
  <c r="A325" i="13"/>
  <c r="AX325" i="13" s="1"/>
  <c r="CW88" i="4"/>
  <c r="CX88" i="4" s="1"/>
  <c r="P98" i="9"/>
  <c r="DV52" i="4"/>
  <c r="AV554" i="13"/>
  <c r="BH52" i="4"/>
  <c r="BL52" i="4"/>
  <c r="BM52" i="4" s="1"/>
  <c r="BE52" i="4" s="1" a="1"/>
  <c r="BE52" i="4" s="1"/>
  <c r="F75" i="4"/>
  <c r="DE75" i="4"/>
  <c r="E75" i="4"/>
  <c r="E171" i="15"/>
  <c r="E433" i="15"/>
  <c r="L13" i="4"/>
  <c r="BG13" i="4"/>
  <c r="AV1111" i="13" s="1"/>
  <c r="BR13" i="4"/>
  <c r="O13" i="69" s="1"/>
  <c r="X13" i="4"/>
  <c r="BG29" i="4"/>
  <c r="AV1127" i="13" s="1"/>
  <c r="X29" i="4"/>
  <c r="BR29" i="4"/>
  <c r="O29" i="69" s="1"/>
  <c r="BR27" i="4"/>
  <c r="BK27" i="72" s="1"/>
  <c r="BG27" i="4"/>
  <c r="AV1125" i="13" s="1"/>
  <c r="BG79" i="4"/>
  <c r="AV1177" i="13" s="1"/>
  <c r="X79" i="4"/>
  <c r="BR79" i="4"/>
  <c r="O79" i="72" s="1"/>
  <c r="BF19" i="4"/>
  <c r="AN48" i="69"/>
  <c r="J48" i="69"/>
  <c r="A48" i="69"/>
  <c r="G48" i="69"/>
  <c r="U48" i="69" a="1"/>
  <c r="U48" i="69" s="1"/>
  <c r="AA48" i="69"/>
  <c r="T48" i="69"/>
  <c r="Y48" i="69"/>
  <c r="AX48" i="69"/>
  <c r="BP48" i="69"/>
  <c r="AW48" i="69"/>
  <c r="V48" i="69"/>
  <c r="B48" i="69" s="1"/>
  <c r="S48" i="69"/>
  <c r="Z48" i="69"/>
  <c r="AB48" i="69" a="1"/>
  <c r="AB48" i="69" s="1"/>
  <c r="AC48" i="69"/>
  <c r="Q48" i="69"/>
  <c r="M48" i="69"/>
  <c r="AM48" i="69"/>
  <c r="P48" i="69"/>
  <c r="W48" i="69"/>
  <c r="BK48" i="69" s="1"/>
  <c r="N48" i="69" a="1"/>
  <c r="N48" i="69" s="1"/>
  <c r="BD48" i="69"/>
  <c r="T88" i="72"/>
  <c r="Q88" i="72"/>
  <c r="BB88" i="72"/>
  <c r="W88" i="72"/>
  <c r="AC88" i="72"/>
  <c r="AR88" i="72"/>
  <c r="Y88" i="72"/>
  <c r="S88" i="72"/>
  <c r="J88" i="72"/>
  <c r="P88" i="72"/>
  <c r="AA88" i="72"/>
  <c r="V88" i="72"/>
  <c r="B88" i="72" s="1"/>
  <c r="BC88" i="72"/>
  <c r="A88" i="72"/>
  <c r="N88" i="72" a="1"/>
  <c r="N88" i="72" s="1"/>
  <c r="Z88" i="72"/>
  <c r="AS88" i="72"/>
  <c r="BU88" i="72"/>
  <c r="G88" i="72"/>
  <c r="M88" i="72"/>
  <c r="AB88" i="72" a="1"/>
  <c r="AB88" i="72" s="1"/>
  <c r="Y11" i="69"/>
  <c r="BP11" i="69"/>
  <c r="AM11" i="69"/>
  <c r="Q11" i="69"/>
  <c r="J11" i="69"/>
  <c r="M11" i="69"/>
  <c r="U11" i="69" a="1"/>
  <c r="U11" i="69" s="1"/>
  <c r="K11" i="69" a="1"/>
  <c r="K11" i="69" s="1"/>
  <c r="P11" i="69"/>
  <c r="AB11" i="69" a="1"/>
  <c r="AB11" i="69" s="1"/>
  <c r="N11" i="69" a="1"/>
  <c r="N11" i="69" s="1"/>
  <c r="V11" i="69"/>
  <c r="B11" i="69" s="1"/>
  <c r="G11" i="69"/>
  <c r="AC11" i="69"/>
  <c r="AX11" i="69"/>
  <c r="AW11" i="69"/>
  <c r="Z11" i="69"/>
  <c r="AA11" i="69"/>
  <c r="AN11" i="69"/>
  <c r="S11" i="69"/>
  <c r="T11" i="69"/>
  <c r="A11" i="69"/>
  <c r="W11" i="69"/>
  <c r="BL11" i="69" s="1" a="1"/>
  <c r="BL11" i="69" s="1"/>
  <c r="Z41" i="72"/>
  <c r="A41" i="72"/>
  <c r="W41" i="72"/>
  <c r="BQ41" i="72" s="1" a="1"/>
  <c r="BQ41" i="72" s="1"/>
  <c r="BC41" i="72"/>
  <c r="U41" i="72" a="1"/>
  <c r="U41" i="72" s="1"/>
  <c r="T41" i="72"/>
  <c r="AS41" i="72"/>
  <c r="V41" i="72"/>
  <c r="B41" i="72" s="1"/>
  <c r="G41" i="72"/>
  <c r="BB41" i="72"/>
  <c r="AR41" i="72"/>
  <c r="J41" i="72"/>
  <c r="Y41" i="72"/>
  <c r="AB41" i="72" a="1"/>
  <c r="AB41" i="72" s="1"/>
  <c r="S41" i="72"/>
  <c r="BU41" i="72"/>
  <c r="M41" i="72"/>
  <c r="AC41" i="72"/>
  <c r="Q41" i="72"/>
  <c r="P41" i="72"/>
  <c r="L41" i="72"/>
  <c r="AA41" i="72"/>
  <c r="N41" i="72" a="1"/>
  <c r="N41" i="72" s="1"/>
  <c r="O41" i="72"/>
  <c r="BK41" i="72"/>
  <c r="AB5" i="72" a="1"/>
  <c r="AB5" i="72" s="1"/>
  <c r="M5" i="72"/>
  <c r="BB5" i="72"/>
  <c r="P5" i="72"/>
  <c r="S5" i="72"/>
  <c r="G5" i="72"/>
  <c r="W5" i="72"/>
  <c r="N5" i="72" a="1"/>
  <c r="N5" i="72" s="1"/>
  <c r="Q5" i="72"/>
  <c r="Z5" i="72"/>
  <c r="K5" i="72" a="1"/>
  <c r="K5" i="72" s="1"/>
  <c r="AA5" i="72"/>
  <c r="T5" i="72"/>
  <c r="AR5" i="72"/>
  <c r="V5" i="72"/>
  <c r="B5" i="72" s="1"/>
  <c r="BU5" i="72"/>
  <c r="BC5" i="72"/>
  <c r="AS5" i="72"/>
  <c r="A5" i="72"/>
  <c r="U5" i="72" a="1"/>
  <c r="U5" i="72" s="1"/>
  <c r="AC5" i="72"/>
  <c r="Y5" i="72"/>
  <c r="J5" i="72"/>
  <c r="K10" i="72" a="1"/>
  <c r="K10" i="72" s="1"/>
  <c r="K9" i="72" a="1"/>
  <c r="K9" i="72" s="1"/>
  <c r="F108" i="15" a="1"/>
  <c r="F108" i="15" s="1"/>
  <c r="AX1370" i="13"/>
  <c r="A1469" i="13"/>
  <c r="F24" i="72"/>
  <c r="AL62" i="4"/>
  <c r="A22" i="72"/>
  <c r="S22" i="72"/>
  <c r="V22" i="72"/>
  <c r="B22" i="72" s="1"/>
  <c r="Y22" i="72"/>
  <c r="AC22" i="72"/>
  <c r="T22" i="72"/>
  <c r="AS22" i="72"/>
  <c r="AB22" i="72" a="1"/>
  <c r="AB22" i="72" s="1"/>
  <c r="N22" i="72" a="1"/>
  <c r="N22" i="72" s="1"/>
  <c r="BU22" i="72"/>
  <c r="U22" i="72" a="1"/>
  <c r="U22" i="72" s="1"/>
  <c r="BI22" i="72"/>
  <c r="K22" i="72" a="1"/>
  <c r="K22" i="72" s="1"/>
  <c r="AA22" i="72"/>
  <c r="BK22" i="72"/>
  <c r="Z22" i="72"/>
  <c r="AR22" i="72"/>
  <c r="BB22" i="72"/>
  <c r="Q22" i="72"/>
  <c r="P22" i="72"/>
  <c r="G22" i="72"/>
  <c r="J22" i="72"/>
  <c r="W22" i="72"/>
  <c r="L22" i="72" s="1"/>
  <c r="BC22" i="72"/>
  <c r="M22" i="72"/>
  <c r="O22" i="72"/>
  <c r="AM54" i="69"/>
  <c r="N54" i="69" a="1"/>
  <c r="N54" i="69" s="1"/>
  <c r="J54" i="69"/>
  <c r="Y54" i="69"/>
  <c r="BP54" i="69"/>
  <c r="G54" i="69"/>
  <c r="V54" i="69"/>
  <c r="B54" i="69" s="1"/>
  <c r="AB54" i="69" a="1"/>
  <c r="AB54" i="69" s="1"/>
  <c r="A54" i="69"/>
  <c r="S54" i="69"/>
  <c r="M54" i="69"/>
  <c r="AC54" i="69"/>
  <c r="Z54" i="69"/>
  <c r="AA54" i="69"/>
  <c r="AN54" i="69"/>
  <c r="Q54" i="69"/>
  <c r="AW54" i="69"/>
  <c r="P54" i="69"/>
  <c r="T54" i="69"/>
  <c r="U54" i="69" a="1"/>
  <c r="U54" i="69" s="1"/>
  <c r="AX54" i="69"/>
  <c r="W54" i="69"/>
  <c r="BL54" i="69" s="1" a="1"/>
  <c r="BL54" i="69" s="1"/>
  <c r="Z19" i="72"/>
  <c r="K19" i="72" a="1"/>
  <c r="K19" i="72" s="1"/>
  <c r="AS19" i="72"/>
  <c r="BB19" i="72"/>
  <c r="AA19" i="72"/>
  <c r="Y19" i="72"/>
  <c r="AB19" i="72" a="1"/>
  <c r="AB19" i="72" s="1"/>
  <c r="BU19" i="72"/>
  <c r="A19" i="72"/>
  <c r="BC19" i="72"/>
  <c r="W19" i="72"/>
  <c r="P19" i="72"/>
  <c r="AC19" i="72"/>
  <c r="N19" i="72" a="1"/>
  <c r="N19" i="72" s="1"/>
  <c r="BI19" i="72"/>
  <c r="S19" i="72"/>
  <c r="AR19" i="72"/>
  <c r="U19" i="72" a="1"/>
  <c r="U19" i="72" s="1"/>
  <c r="M19" i="72"/>
  <c r="Q19" i="72"/>
  <c r="J19" i="72"/>
  <c r="G19" i="72"/>
  <c r="T19" i="72"/>
  <c r="V19" i="72"/>
  <c r="B19" i="72" s="1"/>
  <c r="AB63" i="69" a="1"/>
  <c r="AB63" i="69" s="1"/>
  <c r="AC63" i="69"/>
  <c r="AM63" i="69"/>
  <c r="AX63" i="69"/>
  <c r="S63" i="69"/>
  <c r="N63" i="69" a="1"/>
  <c r="N63" i="69" s="1"/>
  <c r="M63" i="69"/>
  <c r="V63" i="69"/>
  <c r="B63" i="69" s="1"/>
  <c r="Q63" i="69"/>
  <c r="L63" i="69"/>
  <c r="Z63" i="69"/>
  <c r="AN63" i="69"/>
  <c r="Y63" i="69"/>
  <c r="A63" i="69"/>
  <c r="AW63" i="69"/>
  <c r="P63" i="69"/>
  <c r="BP63" i="69"/>
  <c r="J63" i="69"/>
  <c r="AA63" i="69"/>
  <c r="W63" i="69"/>
  <c r="G63" i="69"/>
  <c r="T63" i="69"/>
  <c r="U63" i="69" a="1"/>
  <c r="U63" i="69" s="1"/>
  <c r="I31" i="72"/>
  <c r="F88" i="69"/>
  <c r="AX1347" i="13"/>
  <c r="A1446" i="13"/>
  <c r="F21" i="69"/>
  <c r="F80" i="72"/>
  <c r="F209" i="15" a="1"/>
  <c r="F209" i="15" s="1"/>
  <c r="V8" i="72"/>
  <c r="B8" i="72" s="1"/>
  <c r="BC8" i="72"/>
  <c r="AC8" i="72"/>
  <c r="BB8" i="72"/>
  <c r="BU8" i="72"/>
  <c r="T8" i="72"/>
  <c r="U8" i="72" a="1"/>
  <c r="U8" i="72" s="1"/>
  <c r="AB8" i="72" a="1"/>
  <c r="AB8" i="72" s="1"/>
  <c r="J8" i="72"/>
  <c r="AA8" i="72"/>
  <c r="Z8" i="72"/>
  <c r="N8" i="72" a="1"/>
  <c r="N8" i="72" s="1"/>
  <c r="A8" i="72"/>
  <c r="M8" i="72"/>
  <c r="P8" i="72"/>
  <c r="S8" i="72"/>
  <c r="G8" i="72"/>
  <c r="AR8" i="72"/>
  <c r="Y8" i="72"/>
  <c r="W8" i="72"/>
  <c r="BQ8" i="72" s="1" a="1"/>
  <c r="BQ8" i="72" s="1"/>
  <c r="AS8" i="72"/>
  <c r="Q8" i="72"/>
  <c r="K8" i="72" a="1"/>
  <c r="K8" i="72" s="1"/>
  <c r="O8" i="72"/>
  <c r="BK8" i="72"/>
  <c r="AW6" i="69"/>
  <c r="V6" i="69"/>
  <c r="B6" i="69" s="1"/>
  <c r="AB6" i="69" a="1"/>
  <c r="AB6" i="69" s="1"/>
  <c r="N6" i="69" a="1"/>
  <c r="N6" i="69" s="1"/>
  <c r="Q6" i="69"/>
  <c r="AA6" i="69"/>
  <c r="M6" i="69"/>
  <c r="AN6" i="69"/>
  <c r="G6" i="69"/>
  <c r="T6" i="69"/>
  <c r="AC6" i="69"/>
  <c r="BF6" i="69"/>
  <c r="J6" i="69"/>
  <c r="AX6" i="69"/>
  <c r="Y6" i="69"/>
  <c r="K6" i="69" a="1"/>
  <c r="K6" i="69" s="1"/>
  <c r="U6" i="69" a="1"/>
  <c r="U6" i="69" s="1"/>
  <c r="BP6" i="69"/>
  <c r="Z6" i="69"/>
  <c r="S6" i="69"/>
  <c r="W6" i="69"/>
  <c r="L6" i="69" s="1"/>
  <c r="P6" i="69"/>
  <c r="A6" i="69"/>
  <c r="AM6" i="69"/>
  <c r="F50" i="72"/>
  <c r="AX1339" i="13"/>
  <c r="A1438" i="13"/>
  <c r="AR21" i="72"/>
  <c r="Y21" i="72"/>
  <c r="BI21" i="72"/>
  <c r="Q21" i="72"/>
  <c r="BB21" i="72"/>
  <c r="J21" i="72"/>
  <c r="Z21" i="72"/>
  <c r="AC21" i="72"/>
  <c r="S21" i="72"/>
  <c r="K21" i="72" a="1"/>
  <c r="K21" i="72" s="1"/>
  <c r="BC21" i="72"/>
  <c r="N21" i="72" a="1"/>
  <c r="N21" i="72" s="1"/>
  <c r="BU21" i="72"/>
  <c r="U21" i="72" a="1"/>
  <c r="U21" i="72" s="1"/>
  <c r="T21" i="72"/>
  <c r="G21" i="72"/>
  <c r="L21" i="72"/>
  <c r="M21" i="72"/>
  <c r="AB21" i="72" a="1"/>
  <c r="AB21" i="72" s="1"/>
  <c r="W21" i="72"/>
  <c r="BP21" i="72" s="1"/>
  <c r="AS21" i="72"/>
  <c r="A21" i="72"/>
  <c r="V21" i="72"/>
  <c r="B21" i="72" s="1"/>
  <c r="AA21" i="72"/>
  <c r="P21" i="72"/>
  <c r="AH83" i="4"/>
  <c r="AV1379" i="13" s="1"/>
  <c r="AW35" i="69"/>
  <c r="T35" i="69"/>
  <c r="P35" i="69"/>
  <c r="M35" i="69"/>
  <c r="L35" i="69"/>
  <c r="AC35" i="69"/>
  <c r="AB35" i="69" a="1"/>
  <c r="AB35" i="69" s="1"/>
  <c r="AN35" i="69"/>
  <c r="AX35" i="69"/>
  <c r="AA35" i="69"/>
  <c r="G35" i="69"/>
  <c r="U35" i="69" a="1"/>
  <c r="U35" i="69" s="1"/>
  <c r="Y35" i="69"/>
  <c r="S35" i="69"/>
  <c r="J35" i="69"/>
  <c r="V35" i="69"/>
  <c r="B35" i="69" s="1"/>
  <c r="W35" i="69"/>
  <c r="BK35" i="69" s="1"/>
  <c r="Z35" i="69"/>
  <c r="AM35" i="69"/>
  <c r="Q35" i="69"/>
  <c r="A35" i="69"/>
  <c r="N35" i="69" a="1"/>
  <c r="N35" i="69" s="1"/>
  <c r="BP35" i="69"/>
  <c r="BD35" i="69"/>
  <c r="AX1331" i="13"/>
  <c r="A1430" i="13"/>
  <c r="AX1368" i="13"/>
  <c r="A1467" i="13"/>
  <c r="P18" i="9"/>
  <c r="E80" i="15"/>
  <c r="E224" i="15"/>
  <c r="H215" i="15" s="1" a="1"/>
  <c r="H215" i="15" s="1"/>
  <c r="E288" i="15"/>
  <c r="F284" i="15" s="1" a="1"/>
  <c r="F284" i="15" s="1"/>
  <c r="BV94" i="72"/>
  <c r="E214" i="15"/>
  <c r="P31" i="9"/>
  <c r="P19" i="9"/>
  <c r="M482" i="15" a="1"/>
  <c r="M482" i="15" s="1"/>
  <c r="K482" i="15" a="1"/>
  <c r="K482" i="15" s="1"/>
  <c r="L482" i="15" a="1"/>
  <c r="L482" i="15" s="1"/>
  <c r="N482" i="15" a="1"/>
  <c r="N482" i="15" s="1"/>
  <c r="E278" i="15"/>
  <c r="E511" i="15"/>
  <c r="L509" i="15" s="1" a="1"/>
  <c r="L509" i="15" s="1"/>
  <c r="E283" i="15"/>
  <c r="AO95" i="69" a="1"/>
  <c r="AO95" i="69" s="1"/>
  <c r="BQ95" i="69"/>
  <c r="P44" i="9"/>
  <c r="CA28" i="4"/>
  <c r="AV28" i="4" a="1"/>
  <c r="AV28" i="4" s="1"/>
  <c r="C28" i="69" s="1"/>
  <c r="Y28" i="4"/>
  <c r="AT28" i="4" a="1"/>
  <c r="AT28" i="4" s="1"/>
  <c r="H28" i="69" s="1"/>
  <c r="AU28" i="4"/>
  <c r="BQ28" i="4"/>
  <c r="CA7" i="4"/>
  <c r="AT7" i="4" a="1"/>
  <c r="AT7" i="4" s="1"/>
  <c r="H7" i="69" s="1"/>
  <c r="AU7" i="4"/>
  <c r="AV7" i="4" a="1"/>
  <c r="AV7" i="4" s="1"/>
  <c r="C7" i="69" s="1"/>
  <c r="Y7" i="4"/>
  <c r="BQ7" i="4"/>
  <c r="A1447" i="13"/>
  <c r="AX1348" i="13"/>
  <c r="AT58" i="72" a="1"/>
  <c r="AT58" i="72" s="1"/>
  <c r="BV58" i="72"/>
  <c r="AM58" i="72"/>
  <c r="F215" i="15" a="1"/>
  <c r="F215" i="15" s="1"/>
  <c r="AX1304" i="13"/>
  <c r="A1403" i="13"/>
  <c r="M634" i="15" a="1"/>
  <c r="M634" i="15" s="1"/>
  <c r="AL85" i="4"/>
  <c r="E68" i="15"/>
  <c r="DE85" i="4"/>
  <c r="E85" i="4"/>
  <c r="BT85" i="4" s="1"/>
  <c r="AL84" i="4"/>
  <c r="E84" i="4"/>
  <c r="BT84" i="4" s="1"/>
  <c r="DE84" i="4"/>
  <c r="P10" i="9"/>
  <c r="AP88" i="4"/>
  <c r="AV390" i="13" s="1"/>
  <c r="AV490" i="13" s="1"/>
  <c r="AV31" i="4" a="1"/>
  <c r="AV31" i="4" s="1"/>
  <c r="C31" i="69" s="1"/>
  <c r="AT31" i="4" a="1"/>
  <c r="AT31" i="4" s="1"/>
  <c r="H31" i="69" s="1"/>
  <c r="AU31" i="4"/>
  <c r="Y31" i="4"/>
  <c r="CY31" i="4"/>
  <c r="CZ31" i="4" s="1"/>
  <c r="BQ31" i="4"/>
  <c r="AX1369" i="13"/>
  <c r="A1468" i="13"/>
  <c r="P32" i="9"/>
  <c r="Z94" i="4"/>
  <c r="S94" i="69" s="1"/>
  <c r="DA94" i="4" a="1"/>
  <c r="DA94" i="4" s="1"/>
  <c r="M488" i="15" a="1"/>
  <c r="M488" i="15" s="1"/>
  <c r="E87" i="4"/>
  <c r="DE87" i="4"/>
  <c r="CW85" i="4"/>
  <c r="CX85" i="4" s="1"/>
  <c r="CW81" i="4"/>
  <c r="CX81" i="4" s="1"/>
  <c r="F64" i="4"/>
  <c r="DE64" i="4"/>
  <c r="E64" i="4"/>
  <c r="BT64" i="4" s="1"/>
  <c r="E236" i="15"/>
  <c r="H226" i="15" s="1" a="1"/>
  <c r="H226" i="15" s="1"/>
  <c r="AY95" i="72" a="1"/>
  <c r="AY95" i="72" s="1"/>
  <c r="E64" i="15"/>
  <c r="DA78" i="4" a="1"/>
  <c r="DA78" i="4" s="1"/>
  <c r="AP81" i="4"/>
  <c r="AV383" i="13" s="1"/>
  <c r="AV483" i="13" s="1"/>
  <c r="CA21" i="4"/>
  <c r="AP78" i="4"/>
  <c r="AV380" i="13" s="1"/>
  <c r="AV480" i="13" s="1"/>
  <c r="AU48" i="4"/>
  <c r="AT48" i="4" a="1"/>
  <c r="AT48" i="4" s="1"/>
  <c r="H48" i="72" s="1"/>
  <c r="AV48" i="4" a="1"/>
  <c r="AV48" i="4" s="1"/>
  <c r="C48" i="69" s="1"/>
  <c r="Y48" i="4"/>
  <c r="BQ48" i="4"/>
  <c r="F87" i="4"/>
  <c r="DD60" i="4" a="1"/>
  <c r="DD60" i="4" s="1"/>
  <c r="X23" i="72"/>
  <c r="K42" i="72" s="1" a="1"/>
  <c r="K42" i="72" s="1"/>
  <c r="X23" i="69"/>
  <c r="K35" i="69" s="1" a="1"/>
  <c r="K35" i="69" s="1"/>
  <c r="BF7" i="4"/>
  <c r="BF53" i="4"/>
  <c r="BF15" i="4"/>
  <c r="BF32" i="4"/>
  <c r="BG48" i="4"/>
  <c r="AV1146" i="13" s="1"/>
  <c r="X60" i="72"/>
  <c r="X60" i="69"/>
  <c r="M45" i="69"/>
  <c r="T45" i="69"/>
  <c r="S45" i="69"/>
  <c r="V45" i="69"/>
  <c r="B45" i="69" s="1"/>
  <c r="Q45" i="69"/>
  <c r="AM45" i="69"/>
  <c r="AN45" i="69"/>
  <c r="G45" i="69"/>
  <c r="BP45" i="69"/>
  <c r="AB45" i="69" a="1"/>
  <c r="AB45" i="69" s="1"/>
  <c r="Y45" i="69"/>
  <c r="Z45" i="69"/>
  <c r="U45" i="69" a="1"/>
  <c r="U45" i="69" s="1"/>
  <c r="P45" i="69"/>
  <c r="W45" i="69"/>
  <c r="BL45" i="69" s="1" a="1"/>
  <c r="BL45" i="69" s="1"/>
  <c r="N45" i="69" a="1"/>
  <c r="N45" i="69" s="1"/>
  <c r="A45" i="69"/>
  <c r="AX45" i="69"/>
  <c r="J45" i="69"/>
  <c r="L45" i="69"/>
  <c r="AW45" i="69"/>
  <c r="AC45" i="69"/>
  <c r="AA45" i="69"/>
  <c r="AA6" i="72"/>
  <c r="U6" i="72" a="1"/>
  <c r="U6" i="72" s="1"/>
  <c r="K6" i="72" a="1"/>
  <c r="K6" i="72" s="1"/>
  <c r="AB6" i="72" a="1"/>
  <c r="AB6" i="72" s="1"/>
  <c r="BC6" i="72"/>
  <c r="N6" i="72" a="1"/>
  <c r="N6" i="72" s="1"/>
  <c r="BK6" i="72"/>
  <c r="M6" i="72"/>
  <c r="T6" i="72"/>
  <c r="Q6" i="72"/>
  <c r="AS6" i="72"/>
  <c r="AC6" i="72"/>
  <c r="P6" i="72"/>
  <c r="BB6" i="72"/>
  <c r="AR6" i="72"/>
  <c r="W6" i="72"/>
  <c r="L6" i="72" s="1"/>
  <c r="S6" i="72"/>
  <c r="J6" i="72"/>
  <c r="Y6" i="72"/>
  <c r="V6" i="72"/>
  <c r="B6" i="72" s="1"/>
  <c r="O6" i="72"/>
  <c r="G6" i="72"/>
  <c r="BU6" i="72"/>
  <c r="Z6" i="72"/>
  <c r="A6" i="72"/>
  <c r="L623" i="15" a="1"/>
  <c r="L623" i="15" s="1"/>
  <c r="F141" i="15" a="1"/>
  <c r="F141" i="15" s="1"/>
  <c r="A1456" i="13"/>
  <c r="AX1357" i="13"/>
  <c r="AX1352" i="13"/>
  <c r="A1451" i="13"/>
  <c r="F107" i="15" a="1"/>
  <c r="F107" i="15" s="1"/>
  <c r="AV25" i="13"/>
  <c r="AW23" i="4"/>
  <c r="Z1319" i="13"/>
  <c r="AY23" i="4"/>
  <c r="F23" i="4"/>
  <c r="L23" i="4"/>
  <c r="CA23" i="4" s="1"/>
  <c r="AP23" i="4"/>
  <c r="AV325" i="13" s="1"/>
  <c r="AV425" i="13" s="1"/>
  <c r="W38" i="22"/>
  <c r="Y38" i="22" s="1"/>
  <c r="V38" i="22"/>
  <c r="T48" i="72"/>
  <c r="Q48" i="72"/>
  <c r="AC48" i="72"/>
  <c r="W48" i="72"/>
  <c r="L48" i="72" s="1"/>
  <c r="AA48" i="72"/>
  <c r="AB48" i="72" a="1"/>
  <c r="AB48" i="72" s="1"/>
  <c r="G48" i="72"/>
  <c r="BC48" i="72"/>
  <c r="BB48" i="72"/>
  <c r="M48" i="72"/>
  <c r="V48" i="72"/>
  <c r="B48" i="72" s="1"/>
  <c r="N48" i="72" a="1"/>
  <c r="N48" i="72" s="1"/>
  <c r="BI48" i="72"/>
  <c r="J48" i="72"/>
  <c r="S48" i="72"/>
  <c r="AS48" i="72"/>
  <c r="Z48" i="72"/>
  <c r="P48" i="72"/>
  <c r="U48" i="72" a="1"/>
  <c r="U48" i="72" s="1"/>
  <c r="A48" i="72"/>
  <c r="Y48" i="72"/>
  <c r="AR48" i="72"/>
  <c r="BU48" i="72"/>
  <c r="T34" i="69"/>
  <c r="U34" i="69" a="1"/>
  <c r="U34" i="69" s="1"/>
  <c r="Y34" i="69"/>
  <c r="P34" i="69"/>
  <c r="AX34" i="69"/>
  <c r="Q34" i="69"/>
  <c r="N34" i="69" a="1"/>
  <c r="N34" i="69" s="1"/>
  <c r="W34" i="69"/>
  <c r="BL34" i="69" s="1" a="1"/>
  <c r="BL34" i="69" s="1"/>
  <c r="AB34" i="69" a="1"/>
  <c r="AB34" i="69" s="1"/>
  <c r="AN34" i="69"/>
  <c r="M34" i="69"/>
  <c r="AM34" i="69"/>
  <c r="L34" i="69"/>
  <c r="Z34" i="69"/>
  <c r="BP34" i="69"/>
  <c r="V34" i="69"/>
  <c r="B34" i="69" s="1"/>
  <c r="A34" i="69"/>
  <c r="AC34" i="69"/>
  <c r="AW34" i="69"/>
  <c r="AA34" i="69"/>
  <c r="E34" i="69" s="1"/>
  <c r="G34" i="69"/>
  <c r="S34" i="69"/>
  <c r="J34" i="69"/>
  <c r="BD34" i="69"/>
  <c r="I38" i="72"/>
  <c r="DA57" i="4" a="1"/>
  <c r="DA57" i="4" s="1"/>
  <c r="E57" i="4"/>
  <c r="BT57" i="4" s="1"/>
  <c r="CW57" i="4"/>
  <c r="CX57" i="4" s="1"/>
  <c r="DE57" i="4"/>
  <c r="W11" i="72"/>
  <c r="BQ11" i="72" s="1" a="1"/>
  <c r="BQ11" i="72" s="1"/>
  <c r="AA11" i="72"/>
  <c r="K11" i="72" a="1"/>
  <c r="K11" i="72" s="1"/>
  <c r="N11" i="72" a="1"/>
  <c r="N11" i="72" s="1"/>
  <c r="P11" i="72"/>
  <c r="BC11" i="72"/>
  <c r="U11" i="72" a="1"/>
  <c r="U11" i="72" s="1"/>
  <c r="BB11" i="72"/>
  <c r="A11" i="72"/>
  <c r="AR11" i="72"/>
  <c r="Z11" i="72"/>
  <c r="J11" i="72"/>
  <c r="S11" i="72"/>
  <c r="AB11" i="72" a="1"/>
  <c r="AB11" i="72" s="1"/>
  <c r="Y11" i="72"/>
  <c r="T11" i="72"/>
  <c r="Q11" i="72"/>
  <c r="AS11" i="72"/>
  <c r="AC11" i="72"/>
  <c r="V11" i="72"/>
  <c r="B11" i="72" s="1"/>
  <c r="BU11" i="72"/>
  <c r="M11" i="72"/>
  <c r="G11" i="72"/>
  <c r="S41" i="69"/>
  <c r="AM41" i="69"/>
  <c r="P41" i="69"/>
  <c r="M41" i="69"/>
  <c r="A41" i="69"/>
  <c r="Q41" i="69"/>
  <c r="BP41" i="69"/>
  <c r="T41" i="69"/>
  <c r="AC41" i="69"/>
  <c r="U41" i="69" a="1"/>
  <c r="U41" i="69" s="1"/>
  <c r="AN41" i="69"/>
  <c r="AX41" i="69"/>
  <c r="AW41" i="69"/>
  <c r="L41" i="69"/>
  <c r="Z41" i="69"/>
  <c r="W41" i="69"/>
  <c r="N41" i="69" a="1"/>
  <c r="N41" i="69" s="1"/>
  <c r="Y41" i="69"/>
  <c r="AA41" i="69"/>
  <c r="G41" i="69"/>
  <c r="AB41" i="69" a="1"/>
  <c r="AB41" i="69" s="1"/>
  <c r="J41" i="69"/>
  <c r="V41" i="69"/>
  <c r="B41" i="69" s="1"/>
  <c r="O41" i="69"/>
  <c r="BF41" i="69"/>
  <c r="F29" i="69"/>
  <c r="AM5" i="69"/>
  <c r="Q5" i="69"/>
  <c r="N5" i="69" a="1"/>
  <c r="N5" i="69" s="1"/>
  <c r="G5" i="69"/>
  <c r="M5" i="69"/>
  <c r="W5" i="69"/>
  <c r="BL5" i="69" s="1" a="1"/>
  <c r="BL5" i="69" s="1"/>
  <c r="V5" i="69"/>
  <c r="A5" i="69"/>
  <c r="Y5" i="69"/>
  <c r="Z5" i="69"/>
  <c r="K5" i="69" a="1"/>
  <c r="K5" i="69" s="1"/>
  <c r="S5" i="69"/>
  <c r="AX5" i="69"/>
  <c r="AC5" i="69"/>
  <c r="P5" i="69"/>
  <c r="AB5" i="69" a="1"/>
  <c r="AB5" i="69" s="1"/>
  <c r="U5" i="69" a="1"/>
  <c r="U5" i="69" s="1"/>
  <c r="AW5" i="69"/>
  <c r="AA5" i="69"/>
  <c r="AN5" i="69"/>
  <c r="J5" i="69"/>
  <c r="T5" i="69"/>
  <c r="BP5" i="69"/>
  <c r="BF5" i="69"/>
  <c r="AD5" i="69"/>
  <c r="O5" i="69"/>
  <c r="K10" i="69" a="1"/>
  <c r="K10" i="69" s="1"/>
  <c r="K9" i="69" a="1"/>
  <c r="K9" i="69" s="1"/>
  <c r="AV1404" i="13"/>
  <c r="DA95" i="4" a="1"/>
  <c r="DA95" i="4" s="1"/>
  <c r="T83" i="69"/>
  <c r="AC83" i="69"/>
  <c r="AW83" i="69"/>
  <c r="N83" i="69" a="1"/>
  <c r="N83" i="69" s="1"/>
  <c r="AM83" i="69"/>
  <c r="AX83" i="69"/>
  <c r="U83" i="69" a="1"/>
  <c r="U83" i="69" s="1"/>
  <c r="BP83" i="69"/>
  <c r="AA83" i="69"/>
  <c r="Z83" i="69"/>
  <c r="A83" i="69"/>
  <c r="V83" i="69"/>
  <c r="B83" i="69" s="1"/>
  <c r="AN83" i="69"/>
  <c r="Y83" i="69"/>
  <c r="AB83" i="69" a="1"/>
  <c r="AB83" i="69" s="1"/>
  <c r="W83" i="69"/>
  <c r="BK83" i="69" s="1"/>
  <c r="L83" i="69"/>
  <c r="P83" i="69"/>
  <c r="Q83" i="69"/>
  <c r="M83" i="69"/>
  <c r="J83" i="69"/>
  <c r="S83" i="69"/>
  <c r="I41" i="72"/>
  <c r="AH92" i="4"/>
  <c r="AV1388" i="13" s="1"/>
  <c r="CW68" i="4"/>
  <c r="CX68" i="4" s="1"/>
  <c r="E68" i="4"/>
  <c r="BT68" i="4" s="1"/>
  <c r="DE68" i="4"/>
  <c r="A1452" i="13"/>
  <c r="AX1353" i="13"/>
  <c r="E60" i="4"/>
  <c r="BT60" i="4" s="1"/>
  <c r="AB49" i="72" a="1"/>
  <c r="AB49" i="72" s="1"/>
  <c r="BU49" i="72"/>
  <c r="J49" i="72"/>
  <c r="Y49" i="72"/>
  <c r="U49" i="72" a="1"/>
  <c r="U49" i="72" s="1"/>
  <c r="S49" i="72"/>
  <c r="AS49" i="72"/>
  <c r="W49" i="72"/>
  <c r="BQ49" i="72" s="1" a="1"/>
  <c r="BQ49" i="72" s="1"/>
  <c r="AC49" i="72"/>
  <c r="BB49" i="72"/>
  <c r="T49" i="72"/>
  <c r="V49" i="72"/>
  <c r="B49" i="72" s="1"/>
  <c r="M49" i="72"/>
  <c r="BC49" i="72"/>
  <c r="G49" i="72"/>
  <c r="N49" i="72" a="1"/>
  <c r="N49" i="72" s="1"/>
  <c r="Z49" i="72"/>
  <c r="AR49" i="72"/>
  <c r="Q49" i="72"/>
  <c r="A49" i="72"/>
  <c r="AA49" i="72"/>
  <c r="P49" i="72"/>
  <c r="L49" i="72"/>
  <c r="BI49" i="72"/>
  <c r="AV9" i="4" a="1"/>
  <c r="AV9" i="4" s="1"/>
  <c r="AT9" i="4" a="1"/>
  <c r="AT9" i="4" s="1"/>
  <c r="AU9" i="4"/>
  <c r="Y9" i="4"/>
  <c r="CA9" i="4"/>
  <c r="BQ9" i="4"/>
  <c r="CY9" i="4"/>
  <c r="CZ9" i="4" s="1"/>
  <c r="AD68" i="4"/>
  <c r="AB54" i="72" a="1"/>
  <c r="AB54" i="72" s="1"/>
  <c r="Z54" i="72"/>
  <c r="AC54" i="72"/>
  <c r="Y54" i="72"/>
  <c r="BC54" i="72"/>
  <c r="T54" i="72"/>
  <c r="J54" i="72"/>
  <c r="S54" i="72"/>
  <c r="N54" i="72" a="1"/>
  <c r="N54" i="72" s="1"/>
  <c r="U54" i="72" a="1"/>
  <c r="U54" i="72" s="1"/>
  <c r="BB54" i="72"/>
  <c r="W54" i="72"/>
  <c r="BP54" i="72" s="1"/>
  <c r="AA54" i="72"/>
  <c r="AS54" i="72"/>
  <c r="AR54" i="72"/>
  <c r="P54" i="72"/>
  <c r="M54" i="72"/>
  <c r="V54" i="72"/>
  <c r="B54" i="72" s="1"/>
  <c r="A54" i="72"/>
  <c r="Q54" i="72"/>
  <c r="G54" i="72"/>
  <c r="BU54" i="72"/>
  <c r="M19" i="69"/>
  <c r="S19" i="69"/>
  <c r="Z19" i="69"/>
  <c r="AN19" i="69"/>
  <c r="BP19" i="69"/>
  <c r="AA19" i="69"/>
  <c r="Q19" i="69"/>
  <c r="AC19" i="69"/>
  <c r="W19" i="69"/>
  <c r="V19" i="69"/>
  <c r="B19" i="69" s="1"/>
  <c r="A19" i="69"/>
  <c r="T19" i="69"/>
  <c r="K19" i="69" a="1"/>
  <c r="K19" i="69" s="1"/>
  <c r="P19" i="69"/>
  <c r="AM19" i="69"/>
  <c r="N19" i="69" a="1"/>
  <c r="N19" i="69" s="1"/>
  <c r="Y19" i="69"/>
  <c r="AW19" i="69"/>
  <c r="G19" i="69"/>
  <c r="AX19" i="69"/>
  <c r="AB19" i="69" a="1"/>
  <c r="AB19" i="69" s="1"/>
  <c r="U19" i="69" a="1"/>
  <c r="U19" i="69" s="1"/>
  <c r="J19" i="69"/>
  <c r="BD19" i="69"/>
  <c r="W46" i="69"/>
  <c r="BL46" i="69" s="1" a="1"/>
  <c r="BL46" i="69" s="1"/>
  <c r="AB46" i="69" a="1"/>
  <c r="AB46" i="69" s="1"/>
  <c r="AC46" i="69"/>
  <c r="U46" i="69" a="1"/>
  <c r="U46" i="69" s="1"/>
  <c r="AM46" i="69"/>
  <c r="Y46" i="69"/>
  <c r="BP46" i="69"/>
  <c r="O46" i="69"/>
  <c r="AA46" i="69"/>
  <c r="T46" i="69"/>
  <c r="A46" i="69"/>
  <c r="AX46" i="69"/>
  <c r="Z46" i="69"/>
  <c r="P46" i="69"/>
  <c r="G46" i="69"/>
  <c r="M46" i="69"/>
  <c r="AN46" i="69"/>
  <c r="AW46" i="69"/>
  <c r="S46" i="69"/>
  <c r="Q46" i="69"/>
  <c r="BF46" i="69"/>
  <c r="N46" i="69" a="1"/>
  <c r="N46" i="69" s="1"/>
  <c r="V46" i="69"/>
  <c r="B46" i="69" s="1"/>
  <c r="J46" i="69"/>
  <c r="BD46" i="69"/>
  <c r="AD46" i="69"/>
  <c r="A1454" i="13"/>
  <c r="AX1355" i="13"/>
  <c r="BC63" i="72"/>
  <c r="V63" i="72"/>
  <c r="B63" i="72" s="1"/>
  <c r="J63" i="72"/>
  <c r="AS63" i="72"/>
  <c r="Y63" i="72"/>
  <c r="P63" i="72"/>
  <c r="Q63" i="72"/>
  <c r="BB63" i="72"/>
  <c r="AR63" i="72"/>
  <c r="AC63" i="72"/>
  <c r="S63" i="72"/>
  <c r="A63" i="72"/>
  <c r="M63" i="72"/>
  <c r="L63" i="72"/>
  <c r="G63" i="72"/>
  <c r="AB63" i="72" a="1"/>
  <c r="AB63" i="72" s="1"/>
  <c r="T63" i="72"/>
  <c r="N63" i="72" a="1"/>
  <c r="N63" i="72" s="1"/>
  <c r="W63" i="72"/>
  <c r="BU63" i="72"/>
  <c r="Z63" i="72"/>
  <c r="AA63" i="72"/>
  <c r="U63" i="72" a="1"/>
  <c r="U63" i="72" s="1"/>
  <c r="AB85" i="69" a="1"/>
  <c r="AB85" i="69" s="1"/>
  <c r="W85" i="69"/>
  <c r="BL85" i="69" s="1" a="1"/>
  <c r="BL85" i="69" s="1"/>
  <c r="S85" i="69"/>
  <c r="AX85" i="69"/>
  <c r="AA85" i="69"/>
  <c r="G85" i="69"/>
  <c r="L85" i="69"/>
  <c r="AC85" i="69"/>
  <c r="Q85" i="69"/>
  <c r="P85" i="69"/>
  <c r="Y85" i="69"/>
  <c r="J85" i="69"/>
  <c r="T85" i="69"/>
  <c r="AW85" i="69"/>
  <c r="Z85" i="69"/>
  <c r="V85" i="69"/>
  <c r="B85" i="69" s="1"/>
  <c r="AM85" i="69"/>
  <c r="M85" i="69"/>
  <c r="N85" i="69" a="1"/>
  <c r="N85" i="69" s="1"/>
  <c r="BP85" i="69"/>
  <c r="A85" i="69"/>
  <c r="AN85" i="69"/>
  <c r="U85" i="69" a="1"/>
  <c r="U85" i="69" s="1"/>
  <c r="I12" i="69"/>
  <c r="F63" i="69"/>
  <c r="AL59" i="4"/>
  <c r="I5" i="69"/>
  <c r="I35" i="72"/>
  <c r="BP77" i="69"/>
  <c r="Y77" i="69"/>
  <c r="S77" i="69"/>
  <c r="AN77" i="69"/>
  <c r="AM77" i="69"/>
  <c r="T77" i="69"/>
  <c r="N77" i="69" a="1"/>
  <c r="N77" i="69" s="1"/>
  <c r="Q77" i="69"/>
  <c r="AC77" i="69"/>
  <c r="V77" i="69"/>
  <c r="B77" i="69" s="1"/>
  <c r="Z77" i="69"/>
  <c r="G77" i="69"/>
  <c r="W77" i="69"/>
  <c r="BL77" i="69" s="1" a="1"/>
  <c r="BL77" i="69" s="1"/>
  <c r="AA77" i="69"/>
  <c r="AW77" i="69"/>
  <c r="J77" i="69"/>
  <c r="AB77" i="69" a="1"/>
  <c r="AB77" i="69" s="1"/>
  <c r="M77" i="69"/>
  <c r="A77" i="69"/>
  <c r="AX77" i="69"/>
  <c r="L77" i="69"/>
  <c r="P77" i="69"/>
  <c r="U77" i="69" a="1"/>
  <c r="U77" i="69" s="1"/>
  <c r="Z51" i="72"/>
  <c r="L51" i="72"/>
  <c r="V51" i="72"/>
  <c r="B51" i="72" s="1"/>
  <c r="AB51" i="72" a="1"/>
  <c r="AB51" i="72" s="1"/>
  <c r="N51" i="72" a="1"/>
  <c r="N51" i="72" s="1"/>
  <c r="G51" i="72"/>
  <c r="S51" i="72"/>
  <c r="W51" i="72"/>
  <c r="Y51" i="72"/>
  <c r="J51" i="72"/>
  <c r="T51" i="72"/>
  <c r="BB51" i="72"/>
  <c r="AA51" i="72"/>
  <c r="Q51" i="72"/>
  <c r="U51" i="72" a="1"/>
  <c r="U51" i="72" s="1"/>
  <c r="AC51" i="72"/>
  <c r="BU51" i="72"/>
  <c r="P51" i="72"/>
  <c r="AS51" i="72"/>
  <c r="A51" i="72"/>
  <c r="BC51" i="72"/>
  <c r="M51" i="72"/>
  <c r="AR51" i="72"/>
  <c r="I64" i="69"/>
  <c r="AL63" i="4"/>
  <c r="E349" i="15"/>
  <c r="F348" i="15" s="1" a="1"/>
  <c r="F348" i="15" s="1"/>
  <c r="E63" i="4"/>
  <c r="BT63" i="4" s="1"/>
  <c r="DE63" i="4"/>
  <c r="G40" i="72"/>
  <c r="BB40" i="72"/>
  <c r="S40" i="72"/>
  <c r="BC40" i="72"/>
  <c r="Y40" i="72"/>
  <c r="AB40" i="72" a="1"/>
  <c r="AB40" i="72" s="1"/>
  <c r="J40" i="72"/>
  <c r="T40" i="72"/>
  <c r="Q40" i="72"/>
  <c r="BU40" i="72"/>
  <c r="L40" i="72"/>
  <c r="AR40" i="72"/>
  <c r="W40" i="72"/>
  <c r="BQ40" i="72" s="1" a="1"/>
  <c r="BQ40" i="72" s="1"/>
  <c r="A40" i="72"/>
  <c r="V40" i="72"/>
  <c r="B40" i="72" s="1"/>
  <c r="M40" i="72"/>
  <c r="Z40" i="72"/>
  <c r="U40" i="72" a="1"/>
  <c r="U40" i="72" s="1"/>
  <c r="AC40" i="72"/>
  <c r="AA40" i="72"/>
  <c r="N40" i="72" a="1"/>
  <c r="N40" i="72" s="1"/>
  <c r="P40" i="72"/>
  <c r="AS40" i="72"/>
  <c r="BI40" i="72"/>
  <c r="F5" i="69"/>
  <c r="AS18" i="72"/>
  <c r="BU18" i="72"/>
  <c r="AC18" i="72"/>
  <c r="BC18" i="72"/>
  <c r="W18" i="72"/>
  <c r="L18" i="72" s="1"/>
  <c r="AR18" i="72"/>
  <c r="T18" i="72"/>
  <c r="G18" i="72"/>
  <c r="U18" i="72" a="1"/>
  <c r="U18" i="72" s="1"/>
  <c r="AA18" i="72"/>
  <c r="Z18" i="72"/>
  <c r="P18" i="72"/>
  <c r="N18" i="72" a="1"/>
  <c r="N18" i="72" s="1"/>
  <c r="V18" i="72"/>
  <c r="B18" i="72" s="1"/>
  <c r="A18" i="72"/>
  <c r="M18" i="72"/>
  <c r="S18" i="72"/>
  <c r="Q18" i="72"/>
  <c r="K18" i="72" a="1"/>
  <c r="K18" i="72" s="1"/>
  <c r="BB18" i="72"/>
  <c r="AB18" i="72" a="1"/>
  <c r="AB18" i="72" s="1"/>
  <c r="Y18" i="72"/>
  <c r="J18" i="72"/>
  <c r="O18" i="72"/>
  <c r="BK18" i="72"/>
  <c r="AM21" i="69"/>
  <c r="N21" i="69" a="1"/>
  <c r="N21" i="69" s="1"/>
  <c r="Q21" i="69"/>
  <c r="H21" i="69"/>
  <c r="V21" i="69"/>
  <c r="B21" i="69" s="1"/>
  <c r="C21" i="69"/>
  <c r="Y21" i="69"/>
  <c r="AB21" i="69" a="1"/>
  <c r="AB21" i="69" s="1"/>
  <c r="BD21" i="69"/>
  <c r="AC21" i="69"/>
  <c r="J21" i="69"/>
  <c r="M21" i="69"/>
  <c r="U21" i="69" a="1"/>
  <c r="U21" i="69" s="1"/>
  <c r="K21" i="69" a="1"/>
  <c r="K21" i="69" s="1"/>
  <c r="P21" i="69"/>
  <c r="S21" i="69"/>
  <c r="AX21" i="69"/>
  <c r="AA21" i="69"/>
  <c r="L21" i="69"/>
  <c r="BP21" i="69"/>
  <c r="G21" i="69"/>
  <c r="A21" i="69"/>
  <c r="T21" i="69"/>
  <c r="AW21" i="69"/>
  <c r="Z21" i="69"/>
  <c r="W21" i="69"/>
  <c r="BL21" i="69" s="1" a="1"/>
  <c r="BL21" i="69" s="1"/>
  <c r="AN21" i="69"/>
  <c r="I20" i="69"/>
  <c r="P14" i="72"/>
  <c r="Z14" i="72"/>
  <c r="K14" i="72" a="1"/>
  <c r="K14" i="72" s="1"/>
  <c r="AC14" i="72"/>
  <c r="AR14" i="72"/>
  <c r="G14" i="72"/>
  <c r="T14" i="72"/>
  <c r="BC14" i="72"/>
  <c r="AA14" i="72"/>
  <c r="V14" i="72"/>
  <c r="B14" i="72" s="1"/>
  <c r="L14" i="72"/>
  <c r="BU14" i="72"/>
  <c r="AB14" i="72" a="1"/>
  <c r="AB14" i="72" s="1"/>
  <c r="AS14" i="72"/>
  <c r="Q14" i="72"/>
  <c r="Y14" i="72"/>
  <c r="W14" i="72"/>
  <c r="BQ14" i="72" s="1" a="1"/>
  <c r="BQ14" i="72" s="1"/>
  <c r="BB14" i="72"/>
  <c r="N14" i="72" a="1"/>
  <c r="N14" i="72" s="1"/>
  <c r="U14" i="72" a="1"/>
  <c r="U14" i="72" s="1"/>
  <c r="A14" i="72"/>
  <c r="J14" i="72"/>
  <c r="M14" i="72"/>
  <c r="S14" i="72"/>
  <c r="I66" i="69"/>
  <c r="F11" i="72"/>
  <c r="AL56" i="4"/>
  <c r="DA69" i="4" a="1"/>
  <c r="DA69" i="4" s="1"/>
  <c r="HG37" i="71"/>
  <c r="BV95" i="72"/>
  <c r="E604" i="15"/>
  <c r="H598" i="15" s="1" a="1"/>
  <c r="H598" i="15" s="1"/>
  <c r="P38" i="9"/>
  <c r="IK37" i="71"/>
  <c r="P71" i="9"/>
  <c r="P58" i="9"/>
  <c r="P82" i="9"/>
  <c r="P89" i="9"/>
  <c r="P5" i="9"/>
  <c r="P13" i="9"/>
  <c r="F233" i="15" a="1"/>
  <c r="F233" i="15" s="1"/>
  <c r="E204" i="15"/>
  <c r="H200" i="15" s="1" a="1"/>
  <c r="H200" i="15" s="1"/>
  <c r="P96" i="9"/>
  <c r="E302" i="15"/>
  <c r="H299" i="15" s="1" a="1"/>
  <c r="H299" i="15" s="1"/>
  <c r="E152" i="15"/>
  <c r="P45" i="9"/>
  <c r="H57" i="9"/>
  <c r="AX1220" i="13"/>
  <c r="A1319" i="13"/>
  <c r="AP57" i="4"/>
  <c r="AV359" i="13" s="1"/>
  <c r="AV459" i="13" s="1"/>
  <c r="Z70" i="4"/>
  <c r="AV1267" i="13" s="1"/>
  <c r="DE70" i="4"/>
  <c r="E70" i="4"/>
  <c r="BT70" i="4" s="1"/>
  <c r="FE36" i="71"/>
  <c r="AY94" i="69"/>
  <c r="P33" i="9"/>
  <c r="AP84" i="4"/>
  <c r="AV386" i="13" s="1"/>
  <c r="AV486" i="13" s="1"/>
  <c r="A1552" i="13"/>
  <c r="Z1557" i="13"/>
  <c r="AX1453" i="13"/>
  <c r="AV1453" i="13"/>
  <c r="AJ96" i="72"/>
  <c r="BF96" i="72"/>
  <c r="BE96" i="72"/>
  <c r="BD34" i="4"/>
  <c r="N488" i="15" a="1"/>
  <c r="N488" i="15" s="1"/>
  <c r="AX1310" i="13"/>
  <c r="A1409" i="13"/>
  <c r="P66" i="9"/>
  <c r="AV567" i="13"/>
  <c r="BL65" i="4"/>
  <c r="BM65" i="4" s="1"/>
  <c r="BE65" i="4" s="1" a="1"/>
  <c r="BE65" i="4" s="1"/>
  <c r="DV65" i="4"/>
  <c r="CW72" i="4"/>
  <c r="CX72" i="4" s="1"/>
  <c r="E72" i="4"/>
  <c r="BH72" i="4" s="1"/>
  <c r="DE72" i="4"/>
  <c r="AP56" i="4"/>
  <c r="AV358" i="13" s="1"/>
  <c r="AV458" i="13" s="1"/>
  <c r="BO96" i="69"/>
  <c r="BI96" i="69" a="1"/>
  <c r="BI96" i="69" s="1"/>
  <c r="AK96" i="69" a="1"/>
  <c r="AK96" i="69" s="1"/>
  <c r="R96" i="69"/>
  <c r="BB96" i="69"/>
  <c r="AQ96" i="69" s="1" a="1"/>
  <c r="AQ96" i="69" s="1"/>
  <c r="BH96" i="69" a="1"/>
  <c r="BH96" i="69" s="1"/>
  <c r="AY96" i="69"/>
  <c r="AJ96" i="69" s="1" a="1"/>
  <c r="AJ96" i="69" s="1"/>
  <c r="BK96" i="69"/>
  <c r="BJ96" i="69" s="1"/>
  <c r="BM96" i="69" s="1"/>
  <c r="BL96" i="69" a="1"/>
  <c r="BL96" i="69" s="1"/>
  <c r="E96" i="69"/>
  <c r="AT96" i="69" a="1"/>
  <c r="AT96" i="69" s="1"/>
  <c r="B95" i="72"/>
  <c r="A1426" i="13"/>
  <c r="AX1327" i="13"/>
  <c r="F73" i="4"/>
  <c r="E322" i="15"/>
  <c r="DV43" i="4"/>
  <c r="AV545" i="13"/>
  <c r="BL43" i="4"/>
  <c r="BM43" i="4" s="1"/>
  <c r="BE43" i="4" s="1" a="1"/>
  <c r="BE43" i="4" s="1"/>
  <c r="BH43" i="4"/>
  <c r="BH16" i="4"/>
  <c r="DV16" i="4"/>
  <c r="AV518" i="13"/>
  <c r="BL16" i="4"/>
  <c r="BM16" i="4" s="1"/>
  <c r="BE16" i="4" s="1" a="1"/>
  <c r="BE16" i="4" s="1"/>
  <c r="CA5" i="4"/>
  <c r="AU5" i="4"/>
  <c r="AV5" i="4" a="1"/>
  <c r="AV5" i="4" s="1"/>
  <c r="C5" i="72" s="1"/>
  <c r="AT5" i="4" a="1"/>
  <c r="AT5" i="4" s="1"/>
  <c r="H5" i="72" s="1"/>
  <c r="Y5" i="4"/>
  <c r="BQ5" i="4"/>
  <c r="BG26" i="4"/>
  <c r="AV1124" i="13" s="1"/>
  <c r="BF44" i="4"/>
  <c r="BN97" i="4"/>
  <c r="G55" i="4"/>
  <c r="CY55" i="4" s="1"/>
  <c r="CZ55" i="4" s="1"/>
  <c r="BO55" i="4"/>
  <c r="BO97" i="4" s="1"/>
  <c r="BF38" i="4"/>
  <c r="BF48" i="4"/>
  <c r="E92" i="4"/>
  <c r="BT92" i="4" s="1"/>
  <c r="DE92" i="4"/>
  <c r="E430" i="15"/>
  <c r="F428" i="15" s="1" a="1"/>
  <c r="F428" i="15" s="1"/>
  <c r="E557" i="15"/>
  <c r="L554" i="15" s="1" a="1"/>
  <c r="L554" i="15" s="1"/>
  <c r="Z92" i="4"/>
  <c r="AV1289" i="13" s="1"/>
  <c r="N40" i="69" a="1"/>
  <c r="N40" i="69" s="1"/>
  <c r="P40" i="69"/>
  <c r="AN40" i="69"/>
  <c r="AB40" i="69" a="1"/>
  <c r="AB40" i="69" s="1"/>
  <c r="AX40" i="69"/>
  <c r="AA40" i="69"/>
  <c r="Z40" i="69"/>
  <c r="AW40" i="69"/>
  <c r="Y40" i="69"/>
  <c r="G40" i="69"/>
  <c r="U40" i="69" a="1"/>
  <c r="U40" i="69" s="1"/>
  <c r="J40" i="69"/>
  <c r="W40" i="69"/>
  <c r="BK40" i="69" s="1"/>
  <c r="A40" i="69"/>
  <c r="AC40" i="69"/>
  <c r="BP40" i="69"/>
  <c r="S40" i="69"/>
  <c r="V40" i="69"/>
  <c r="B40" i="69" s="1"/>
  <c r="L40" i="69"/>
  <c r="T40" i="69"/>
  <c r="Q40" i="69"/>
  <c r="M40" i="69"/>
  <c r="AM40" i="69"/>
  <c r="BD40" i="69"/>
  <c r="E67" i="4"/>
  <c r="DE67" i="4"/>
  <c r="K18" i="69" a="1"/>
  <c r="K18" i="69" s="1"/>
  <c r="T18" i="69"/>
  <c r="AA18" i="69"/>
  <c r="G18" i="69"/>
  <c r="AB18" i="69" a="1"/>
  <c r="AB18" i="69" s="1"/>
  <c r="Z18" i="69"/>
  <c r="N18" i="69" a="1"/>
  <c r="N18" i="69" s="1"/>
  <c r="S18" i="69"/>
  <c r="AW18" i="69"/>
  <c r="V18" i="69"/>
  <c r="B18" i="69" s="1"/>
  <c r="P18" i="69"/>
  <c r="Q18" i="69"/>
  <c r="A18" i="69"/>
  <c r="Y18" i="69"/>
  <c r="AN18" i="69"/>
  <c r="AX18" i="69"/>
  <c r="BP18" i="69"/>
  <c r="U18" i="69" a="1"/>
  <c r="U18" i="69" s="1"/>
  <c r="W18" i="69"/>
  <c r="BL18" i="69" s="1" a="1"/>
  <c r="BL18" i="69" s="1"/>
  <c r="J18" i="69"/>
  <c r="AM18" i="69"/>
  <c r="AC18" i="69"/>
  <c r="M18" i="69"/>
  <c r="O18" i="69"/>
  <c r="BF18" i="69"/>
  <c r="CW89" i="4"/>
  <c r="CX89" i="4" s="1"/>
  <c r="Q14" i="69"/>
  <c r="AW14" i="69"/>
  <c r="AM14" i="69"/>
  <c r="M14" i="69"/>
  <c r="AX14" i="69"/>
  <c r="Z14" i="69"/>
  <c r="N14" i="69" a="1"/>
  <c r="N14" i="69" s="1"/>
  <c r="AN14" i="69"/>
  <c r="Y14" i="69"/>
  <c r="S14" i="69"/>
  <c r="AA14" i="69"/>
  <c r="BP14" i="69"/>
  <c r="A14" i="69"/>
  <c r="J14" i="69"/>
  <c r="G14" i="69"/>
  <c r="K14" i="69" a="1"/>
  <c r="K14" i="69" s="1"/>
  <c r="L14" i="69"/>
  <c r="V14" i="69"/>
  <c r="B14" i="69" s="1"/>
  <c r="AB14" i="69" a="1"/>
  <c r="AB14" i="69" s="1"/>
  <c r="T14" i="69"/>
  <c r="U14" i="69" a="1"/>
  <c r="U14" i="69" s="1"/>
  <c r="P14" i="69"/>
  <c r="AC14" i="69"/>
  <c r="W14" i="69"/>
  <c r="CW69" i="4"/>
  <c r="CX69" i="4" s="1"/>
  <c r="AI20" i="27"/>
  <c r="AX1337" i="13"/>
  <c r="A1436" i="13"/>
  <c r="IE37" i="71"/>
  <c r="P77" i="9"/>
  <c r="E162" i="15"/>
  <c r="E212" i="15"/>
  <c r="H209" i="15" s="1" a="1"/>
  <c r="H209" i="15" s="1"/>
  <c r="J95" i="72"/>
  <c r="GU37" i="71"/>
  <c r="P51" i="9"/>
  <c r="E133" i="15"/>
  <c r="S96" i="72"/>
  <c r="AI96" i="72" s="1"/>
  <c r="E160" i="15"/>
  <c r="AU96" i="69" a="1"/>
  <c r="AU96" i="69" s="1"/>
  <c r="AF96" i="69" a="1"/>
  <c r="AF96" i="69" s="1"/>
  <c r="AH96" i="69" a="1"/>
  <c r="AH96" i="69" s="1"/>
  <c r="AP96" i="69" a="1"/>
  <c r="AP96" i="69" s="1"/>
  <c r="AV96" i="69" a="1"/>
  <c r="AV96" i="69" s="1"/>
  <c r="AL96" i="69" a="1"/>
  <c r="AL96" i="69" s="1"/>
  <c r="HV37" i="71"/>
  <c r="DV7" i="4"/>
  <c r="AV509" i="13"/>
  <c r="BL7" i="4"/>
  <c r="BI7" i="72" s="1"/>
  <c r="BH7" i="4"/>
  <c r="DV72" i="4"/>
  <c r="AV574" i="13"/>
  <c r="BL72" i="4"/>
  <c r="BM72" i="4" s="1"/>
  <c r="BE72" i="4" s="1" a="1"/>
  <c r="BE72" i="4" s="1"/>
  <c r="BL70" i="4"/>
  <c r="BM70" i="4" s="1"/>
  <c r="BE70" i="4" s="1" a="1"/>
  <c r="BE70" i="4" s="1"/>
  <c r="DV70" i="4"/>
  <c r="AV572" i="13"/>
  <c r="AL86" i="4"/>
  <c r="E86" i="4"/>
  <c r="BT86" i="4" s="1"/>
  <c r="DE86" i="4"/>
  <c r="DV54" i="4"/>
  <c r="AV556" i="13"/>
  <c r="BH54" i="4"/>
  <c r="BL54" i="4"/>
  <c r="BM54" i="4" s="1"/>
  <c r="BE54" i="4" s="1" a="1"/>
  <c r="BE54" i="4" s="1"/>
  <c r="AX1333" i="13"/>
  <c r="A1432" i="13"/>
  <c r="M95" i="72"/>
  <c r="AX1309" i="13"/>
  <c r="A1408" i="13"/>
  <c r="AX1342" i="13"/>
  <c r="A1441" i="13"/>
  <c r="AD94" i="4"/>
  <c r="K488" i="15" a="1"/>
  <c r="K488" i="15" s="1"/>
  <c r="E111" i="15"/>
  <c r="H102" i="15" s="1" a="1"/>
  <c r="H102" i="15" s="1"/>
  <c r="CA27" i="4"/>
  <c r="AU27" i="4"/>
  <c r="AV27" i="4" a="1"/>
  <c r="AV27" i="4" s="1"/>
  <c r="C27" i="69" s="1"/>
  <c r="D27" i="69" s="1" a="1"/>
  <c r="D27" i="69" s="1"/>
  <c r="Y27" i="4"/>
  <c r="AT27" i="4" a="1"/>
  <c r="AT27" i="4" s="1"/>
  <c r="H27" i="69" s="1"/>
  <c r="BQ27" i="4"/>
  <c r="A1462" i="13"/>
  <c r="AX1363" i="13"/>
  <c r="E546" i="15"/>
  <c r="F231" i="15" a="1"/>
  <c r="F231" i="15" s="1"/>
  <c r="AX1307" i="13"/>
  <c r="A1406" i="13"/>
  <c r="CA33" i="4"/>
  <c r="AV33" i="4" a="1"/>
  <c r="AV33" i="4" s="1"/>
  <c r="C33" i="72" s="1"/>
  <c r="D33" i="72" s="1" a="1"/>
  <c r="D33" i="72" s="1"/>
  <c r="AT33" i="4" a="1"/>
  <c r="AT33" i="4" s="1"/>
  <c r="H33" i="72" s="1"/>
  <c r="Y33" i="4"/>
  <c r="AU33" i="4"/>
  <c r="BQ33" i="4"/>
  <c r="CY33" i="4"/>
  <c r="CZ33" i="4" s="1"/>
  <c r="P35" i="9" s="1"/>
  <c r="E180" i="15"/>
  <c r="H172" i="15" s="1" a="1"/>
  <c r="H172" i="15" s="1"/>
  <c r="AL65" i="4"/>
  <c r="DE65" i="4"/>
  <c r="E65" i="4"/>
  <c r="BT65" i="4" s="1"/>
  <c r="P57" i="9"/>
  <c r="P36" i="9"/>
  <c r="BD28" i="4"/>
  <c r="F85" i="4"/>
  <c r="BH38" i="4"/>
  <c r="BL38" i="4"/>
  <c r="BM38" i="4" s="1"/>
  <c r="BE38" i="4" s="1" a="1"/>
  <c r="BE38" i="4" s="1"/>
  <c r="AV540" i="13"/>
  <c r="DV38" i="4"/>
  <c r="CA43" i="4"/>
  <c r="AU43" i="4"/>
  <c r="AV43" i="4" a="1"/>
  <c r="AV43" i="4" s="1"/>
  <c r="C43" i="69" s="1"/>
  <c r="Y43" i="4"/>
  <c r="AT43" i="4" a="1"/>
  <c r="AT43" i="4" s="1"/>
  <c r="H43" i="72" s="1"/>
  <c r="BQ43" i="4"/>
  <c r="AP93" i="4"/>
  <c r="AV395" i="13" s="1"/>
  <c r="AV495" i="13" s="1"/>
  <c r="AP71" i="4"/>
  <c r="AV373" i="13" s="1"/>
  <c r="AV473" i="13" s="1"/>
  <c r="AT17" i="4" a="1"/>
  <c r="AT17" i="4" s="1"/>
  <c r="H17" i="72" s="1"/>
  <c r="AU17" i="4"/>
  <c r="AV17" i="4" a="1"/>
  <c r="AV17" i="4" s="1"/>
  <c r="C17" i="72" s="1"/>
  <c r="D17" i="72" s="1" a="1"/>
  <c r="D17" i="72" s="1"/>
  <c r="Y17" i="4"/>
  <c r="BQ17" i="4"/>
  <c r="AL23" i="4"/>
  <c r="I23" i="69" s="1"/>
  <c r="BG8" i="4"/>
  <c r="AV1106" i="13" s="1"/>
  <c r="X8" i="4"/>
  <c r="BF6" i="4"/>
  <c r="L35" i="4"/>
  <c r="BG35" i="4"/>
  <c r="AV1133" i="13" s="1"/>
  <c r="X35" i="4"/>
  <c r="BR35" i="4"/>
  <c r="O35" i="72" s="1"/>
  <c r="BF24" i="4"/>
  <c r="BF37" i="4"/>
  <c r="L53" i="4"/>
  <c r="BR53" i="4"/>
  <c r="BK53" i="72" s="1"/>
  <c r="X53" i="4"/>
  <c r="BG53" i="4"/>
  <c r="AV1151" i="13" s="1"/>
  <c r="BG47" i="4"/>
  <c r="AV1145" i="13" s="1"/>
  <c r="X47" i="4"/>
  <c r="L50" i="4"/>
  <c r="BG50" i="4"/>
  <c r="AV1148" i="13" s="1"/>
  <c r="BR50" i="4"/>
  <c r="BF50" i="69" s="1"/>
  <c r="L38" i="4"/>
  <c r="BG38" i="4"/>
  <c r="AV1136" i="13" s="1"/>
  <c r="BG32" i="4"/>
  <c r="AV1130" i="13" s="1"/>
  <c r="BF28" i="4"/>
  <c r="Q45" i="72"/>
  <c r="BC45" i="72"/>
  <c r="U45" i="72" a="1"/>
  <c r="U45" i="72" s="1"/>
  <c r="BB45" i="72"/>
  <c r="C45" i="72"/>
  <c r="AB45" i="72" a="1"/>
  <c r="AB45" i="72" s="1"/>
  <c r="W45" i="72"/>
  <c r="BP45" i="72" s="1"/>
  <c r="AC45" i="72"/>
  <c r="Y45" i="72"/>
  <c r="G45" i="72"/>
  <c r="BU45" i="72"/>
  <c r="T45" i="72"/>
  <c r="N45" i="72" a="1"/>
  <c r="N45" i="72" s="1"/>
  <c r="J45" i="72"/>
  <c r="M45" i="72"/>
  <c r="AR45" i="72"/>
  <c r="Z45" i="72"/>
  <c r="A45" i="72"/>
  <c r="P45" i="72"/>
  <c r="O45" i="72"/>
  <c r="H45" i="72"/>
  <c r="S45" i="72"/>
  <c r="AA45" i="72"/>
  <c r="V45" i="72"/>
  <c r="B45" i="72" s="1"/>
  <c r="L45" i="72"/>
  <c r="AS45" i="72"/>
  <c r="AX22" i="69"/>
  <c r="AC22" i="69"/>
  <c r="P22" i="69"/>
  <c r="J22" i="69"/>
  <c r="Y22" i="69"/>
  <c r="U22" i="69" a="1"/>
  <c r="U22" i="69" s="1"/>
  <c r="Z22" i="69"/>
  <c r="Q22" i="69"/>
  <c r="A22" i="69"/>
  <c r="K22" i="69" a="1"/>
  <c r="K22" i="69" s="1"/>
  <c r="W22" i="69"/>
  <c r="BL22" i="69" s="1" a="1"/>
  <c r="BL22" i="69" s="1"/>
  <c r="AB22" i="69" a="1"/>
  <c r="AB22" i="69" s="1"/>
  <c r="AN22" i="69"/>
  <c r="N22" i="69" a="1"/>
  <c r="N22" i="69" s="1"/>
  <c r="AA22" i="69"/>
  <c r="BF22" i="69"/>
  <c r="AW22" i="69"/>
  <c r="T22" i="69"/>
  <c r="O22" i="69"/>
  <c r="V22" i="69"/>
  <c r="B22" i="69" s="1"/>
  <c r="S22" i="69"/>
  <c r="AM22" i="69"/>
  <c r="BP22" i="69"/>
  <c r="M22" i="69"/>
  <c r="G22" i="69"/>
  <c r="BD22" i="69"/>
  <c r="AD22" i="69"/>
  <c r="Z43" i="72"/>
  <c r="U43" i="72" a="1"/>
  <c r="U43" i="72" s="1"/>
  <c r="AC43" i="72"/>
  <c r="AR43" i="72"/>
  <c r="T43" i="72"/>
  <c r="BU43" i="72"/>
  <c r="BB43" i="72"/>
  <c r="P43" i="72"/>
  <c r="M43" i="72"/>
  <c r="AA43" i="72"/>
  <c r="Q43" i="72"/>
  <c r="AB43" i="72" a="1"/>
  <c r="AB43" i="72" s="1"/>
  <c r="V43" i="72"/>
  <c r="B43" i="72" s="1"/>
  <c r="N43" i="72" a="1"/>
  <c r="N43" i="72" s="1"/>
  <c r="A43" i="72"/>
  <c r="W43" i="72"/>
  <c r="BQ43" i="72" s="1" a="1"/>
  <c r="BQ43" i="72" s="1"/>
  <c r="S43" i="72"/>
  <c r="BC43" i="72"/>
  <c r="AS43" i="72"/>
  <c r="J43" i="72"/>
  <c r="G43" i="72"/>
  <c r="Y43" i="72"/>
  <c r="AB34" i="72" a="1"/>
  <c r="AB34" i="72" s="1"/>
  <c r="AS34" i="72"/>
  <c r="BC34" i="72"/>
  <c r="M34" i="72"/>
  <c r="AC34" i="72"/>
  <c r="S34" i="72"/>
  <c r="AA34" i="72"/>
  <c r="A34" i="72"/>
  <c r="Z34" i="72"/>
  <c r="V34" i="72"/>
  <c r="B34" i="72" s="1"/>
  <c r="AR34" i="72"/>
  <c r="N34" i="72" a="1"/>
  <c r="N34" i="72" s="1"/>
  <c r="BU34" i="72"/>
  <c r="J34" i="72"/>
  <c r="U34" i="72" a="1"/>
  <c r="U34" i="72" s="1"/>
  <c r="T34" i="72"/>
  <c r="BB34" i="72"/>
  <c r="Y34" i="72"/>
  <c r="W34" i="72"/>
  <c r="BQ34" i="72" s="1" a="1"/>
  <c r="BQ34" i="72" s="1"/>
  <c r="G34" i="72"/>
  <c r="P34" i="72"/>
  <c r="Q34" i="72"/>
  <c r="L34" i="72"/>
  <c r="BI34" i="72"/>
  <c r="I71" i="72"/>
  <c r="I27" i="69"/>
  <c r="S20" i="69"/>
  <c r="T20" i="69"/>
  <c r="AB20" i="69" a="1"/>
  <c r="AB20" i="69" s="1"/>
  <c r="W20" i="69"/>
  <c r="L20" i="69" s="1"/>
  <c r="M20" i="69"/>
  <c r="Y20" i="69"/>
  <c r="K20" i="69" a="1"/>
  <c r="K20" i="69" s="1"/>
  <c r="AX20" i="69"/>
  <c r="A20" i="69"/>
  <c r="BP20" i="69"/>
  <c r="AA20" i="69"/>
  <c r="Z20" i="69"/>
  <c r="Q20" i="69"/>
  <c r="AW20" i="69"/>
  <c r="N20" i="69" a="1"/>
  <c r="N20" i="69" s="1"/>
  <c r="U20" i="69" a="1"/>
  <c r="U20" i="69" s="1"/>
  <c r="AM20" i="69"/>
  <c r="G20" i="69"/>
  <c r="V20" i="69"/>
  <c r="B20" i="69" s="1"/>
  <c r="P20" i="69"/>
  <c r="AN20" i="69"/>
  <c r="AC20" i="69"/>
  <c r="J20" i="69"/>
  <c r="O20" i="69"/>
  <c r="AD20" i="69"/>
  <c r="BF20" i="69"/>
  <c r="AX1308" i="13"/>
  <c r="A1407" i="13"/>
  <c r="T49" i="69"/>
  <c r="AN49" i="69"/>
  <c r="AC49" i="69"/>
  <c r="S49" i="69"/>
  <c r="Y49" i="69"/>
  <c r="AM49" i="69"/>
  <c r="W49" i="69"/>
  <c r="BL49" i="69" s="1" a="1"/>
  <c r="BL49" i="69" s="1"/>
  <c r="L49" i="69"/>
  <c r="AW49" i="69"/>
  <c r="U49" i="69" a="1"/>
  <c r="U49" i="69" s="1"/>
  <c r="N49" i="69" a="1"/>
  <c r="N49" i="69" s="1"/>
  <c r="V49" i="69"/>
  <c r="B49" i="69" s="1"/>
  <c r="BP49" i="69"/>
  <c r="G49" i="69"/>
  <c r="Q49" i="69"/>
  <c r="J49" i="69"/>
  <c r="Z49" i="69"/>
  <c r="AX49" i="69"/>
  <c r="AB49" i="69" a="1"/>
  <c r="AB49" i="69" s="1"/>
  <c r="M49" i="69"/>
  <c r="A49" i="69"/>
  <c r="AA49" i="69"/>
  <c r="P49" i="69"/>
  <c r="BD49" i="69"/>
  <c r="M613" i="15" a="1"/>
  <c r="M613" i="15" s="1"/>
  <c r="BN4" i="72" a="1"/>
  <c r="BN4" i="72" s="1"/>
  <c r="M554" i="15" a="1"/>
  <c r="M554" i="15" s="1"/>
  <c r="AL61" i="4"/>
  <c r="E61" i="4"/>
  <c r="BT61" i="4" s="1"/>
  <c r="DE61" i="4"/>
  <c r="E159" i="15"/>
  <c r="AC61" i="72"/>
  <c r="S61" i="72"/>
  <c r="AA61" i="72"/>
  <c r="A61" i="72"/>
  <c r="J61" i="72"/>
  <c r="AS61" i="72"/>
  <c r="Q61" i="72"/>
  <c r="AB61" i="72" a="1"/>
  <c r="AB61" i="72" s="1"/>
  <c r="BU61" i="72"/>
  <c r="G61" i="72"/>
  <c r="BB61" i="72"/>
  <c r="BC61" i="72"/>
  <c r="W61" i="72"/>
  <c r="BP61" i="72" s="1"/>
  <c r="N61" i="72" a="1"/>
  <c r="N61" i="72" s="1"/>
  <c r="Y61" i="72"/>
  <c r="Z61" i="72"/>
  <c r="V61" i="72"/>
  <c r="B61" i="72" s="1"/>
  <c r="AR61" i="72"/>
  <c r="M61" i="72"/>
  <c r="L61" i="72"/>
  <c r="P61" i="72"/>
  <c r="T61" i="72"/>
  <c r="U61" i="72" a="1"/>
  <c r="U61" i="72" s="1"/>
  <c r="AA20" i="72"/>
  <c r="AC20" i="72"/>
  <c r="AR20" i="72"/>
  <c r="BU20" i="72"/>
  <c r="K20" i="72" a="1"/>
  <c r="K20" i="72" s="1"/>
  <c r="A20" i="72"/>
  <c r="N20" i="72" a="1"/>
  <c r="N20" i="72" s="1"/>
  <c r="V20" i="72"/>
  <c r="B20" i="72" s="1"/>
  <c r="S20" i="72"/>
  <c r="J20" i="72"/>
  <c r="T20" i="72"/>
  <c r="M20" i="72"/>
  <c r="Y20" i="72"/>
  <c r="Q20" i="72"/>
  <c r="Z20" i="72"/>
  <c r="BB20" i="72"/>
  <c r="AB20" i="72" a="1"/>
  <c r="AB20" i="72" s="1"/>
  <c r="W20" i="72"/>
  <c r="AS20" i="72"/>
  <c r="P20" i="72"/>
  <c r="G20" i="72"/>
  <c r="BC20" i="72"/>
  <c r="U20" i="72" a="1"/>
  <c r="U20" i="72" s="1"/>
  <c r="O20" i="72"/>
  <c r="V80" i="72"/>
  <c r="B80" i="72" s="1"/>
  <c r="AR80" i="72"/>
  <c r="AC80" i="72"/>
  <c r="L80" i="72"/>
  <c r="W80" i="72"/>
  <c r="BQ80" i="72" s="1" a="1"/>
  <c r="BQ80" i="72" s="1"/>
  <c r="S80" i="72"/>
  <c r="AS80" i="72"/>
  <c r="Z80" i="72"/>
  <c r="BB80" i="72"/>
  <c r="P80" i="72"/>
  <c r="BU80" i="72"/>
  <c r="Y80" i="72"/>
  <c r="A80" i="72"/>
  <c r="AB80" i="72" a="1"/>
  <c r="AB80" i="72" s="1"/>
  <c r="Q80" i="72"/>
  <c r="M80" i="72"/>
  <c r="J80" i="72"/>
  <c r="AA80" i="72"/>
  <c r="BC80" i="72"/>
  <c r="N80" i="72" a="1"/>
  <c r="N80" i="72" s="1"/>
  <c r="T80" i="72"/>
  <c r="U80" i="72" a="1"/>
  <c r="U80" i="72" s="1"/>
  <c r="P92" i="72"/>
  <c r="Q92" i="72"/>
  <c r="Z92" i="72"/>
  <c r="AA92" i="72"/>
  <c r="AC92" i="72"/>
  <c r="T92" i="72"/>
  <c r="M92" i="72"/>
  <c r="AS92" i="72"/>
  <c r="Y92" i="72"/>
  <c r="J92" i="72"/>
  <c r="A92" i="72"/>
  <c r="BC92" i="72"/>
  <c r="V92" i="72"/>
  <c r="W92" i="72"/>
  <c r="BQ92" i="72" s="1" a="1"/>
  <c r="BQ92" i="72" s="1"/>
  <c r="AR92" i="72"/>
  <c r="N92" i="72" a="1"/>
  <c r="N92" i="72" s="1"/>
  <c r="U92" i="72" a="1"/>
  <c r="U92" i="72" s="1"/>
  <c r="BB92" i="72"/>
  <c r="L92" i="72"/>
  <c r="AB92" i="72" a="1"/>
  <c r="AB92" i="72" s="1"/>
  <c r="BU92" i="72"/>
  <c r="G7" i="72"/>
  <c r="Q7" i="72"/>
  <c r="P7" i="72"/>
  <c r="AA7" i="72"/>
  <c r="Y7" i="72"/>
  <c r="BC7" i="72"/>
  <c r="AR7" i="72"/>
  <c r="M7" i="72"/>
  <c r="BU7" i="72"/>
  <c r="W7" i="72"/>
  <c r="AB7" i="72" a="1"/>
  <c r="AB7" i="72" s="1"/>
  <c r="BB7" i="72"/>
  <c r="AC7" i="72"/>
  <c r="T7" i="72"/>
  <c r="U7" i="72" a="1"/>
  <c r="U7" i="72" s="1"/>
  <c r="S7" i="72"/>
  <c r="V7" i="72"/>
  <c r="B7" i="72" s="1"/>
  <c r="AS7" i="72"/>
  <c r="A7" i="72"/>
  <c r="Z7" i="72"/>
  <c r="J7" i="72"/>
  <c r="K7" i="72" a="1"/>
  <c r="K7" i="72" s="1"/>
  <c r="N7" i="72" a="1"/>
  <c r="N7" i="72" s="1"/>
  <c r="BK7" i="72"/>
  <c r="O7" i="72"/>
  <c r="BF9" i="69"/>
  <c r="O9" i="69"/>
  <c r="BK9" i="72"/>
  <c r="O9" i="72"/>
  <c r="A1402" i="13"/>
  <c r="AX1303" i="13"/>
  <c r="M86" i="69"/>
  <c r="V86" i="69"/>
  <c r="B86" i="69" s="1"/>
  <c r="J86" i="69"/>
  <c r="AA86" i="69"/>
  <c r="L86" i="69"/>
  <c r="W86" i="69"/>
  <c r="BL86" i="69" s="1" a="1"/>
  <c r="BL86" i="69" s="1"/>
  <c r="AN86" i="69"/>
  <c r="AC86" i="69"/>
  <c r="T86" i="69"/>
  <c r="P86" i="69"/>
  <c r="N86" i="69" a="1"/>
  <c r="N86" i="69" s="1"/>
  <c r="AM86" i="69"/>
  <c r="AB86" i="69" a="1"/>
  <c r="AB86" i="69" s="1"/>
  <c r="AW86" i="69"/>
  <c r="Y86" i="69"/>
  <c r="S86" i="69"/>
  <c r="BP86" i="69"/>
  <c r="AX86" i="69"/>
  <c r="Q86" i="69"/>
  <c r="A86" i="69"/>
  <c r="Z86" i="69"/>
  <c r="G86" i="69"/>
  <c r="U86" i="69" a="1"/>
  <c r="U86" i="69" s="1"/>
  <c r="F89" i="72"/>
  <c r="AA68" i="72"/>
  <c r="U68" i="72" a="1"/>
  <c r="U68" i="72" s="1"/>
  <c r="AR68" i="72"/>
  <c r="V68" i="72"/>
  <c r="B68" i="72" s="1"/>
  <c r="AC68" i="72"/>
  <c r="Y68" i="72"/>
  <c r="AS68" i="72"/>
  <c r="J68" i="72"/>
  <c r="W68" i="72"/>
  <c r="BP68" i="72" s="1"/>
  <c r="Q68" i="72"/>
  <c r="A68" i="72"/>
  <c r="AB68" i="72" a="1"/>
  <c r="AB68" i="72" s="1"/>
  <c r="BC68" i="72"/>
  <c r="Z68" i="72"/>
  <c r="BB68" i="72"/>
  <c r="N68" i="72" a="1"/>
  <c r="N68" i="72" s="1"/>
  <c r="P68" i="72"/>
  <c r="M68" i="72"/>
  <c r="BU68" i="72"/>
  <c r="T68" i="72"/>
  <c r="G68" i="72"/>
  <c r="S68" i="72"/>
  <c r="I11" i="72"/>
  <c r="DA62" i="4" a="1"/>
  <c r="DA62" i="4" s="1"/>
  <c r="P62" i="69"/>
  <c r="N62" i="69" a="1"/>
  <c r="N62" i="69" s="1"/>
  <c r="AM62" i="69"/>
  <c r="Y62" i="69"/>
  <c r="T62" i="69"/>
  <c r="A62" i="69"/>
  <c r="M62" i="69"/>
  <c r="BP62" i="69"/>
  <c r="AC62" i="69"/>
  <c r="V62" i="69"/>
  <c r="B62" i="69" s="1"/>
  <c r="W62" i="69"/>
  <c r="BL62" i="69" s="1" a="1"/>
  <c r="BL62" i="69" s="1"/>
  <c r="AN62" i="69"/>
  <c r="AB62" i="69" a="1"/>
  <c r="AB62" i="69" s="1"/>
  <c r="S62" i="69"/>
  <c r="AW62" i="69"/>
  <c r="J62" i="69"/>
  <c r="Z62" i="69"/>
  <c r="G62" i="69"/>
  <c r="AX62" i="69"/>
  <c r="Q62" i="69"/>
  <c r="AA62" i="69"/>
  <c r="L583" i="15" a="1"/>
  <c r="L583" i="15" s="1"/>
  <c r="M16" i="72"/>
  <c r="T16" i="72"/>
  <c r="W16" i="72"/>
  <c r="L16" i="72" s="1"/>
  <c r="P16" i="72"/>
  <c r="AR16" i="72"/>
  <c r="Z16" i="72"/>
  <c r="N16" i="72" a="1"/>
  <c r="N16" i="72" s="1"/>
  <c r="J16" i="72"/>
  <c r="BB16" i="72"/>
  <c r="AC16" i="72"/>
  <c r="G16" i="72"/>
  <c r="AS16" i="72"/>
  <c r="AA16" i="72"/>
  <c r="U16" i="72" a="1"/>
  <c r="U16" i="72" s="1"/>
  <c r="Y16" i="72"/>
  <c r="BC16" i="72"/>
  <c r="BU16" i="72"/>
  <c r="S16" i="72"/>
  <c r="Q16" i="72"/>
  <c r="AB16" i="72" a="1"/>
  <c r="AB16" i="72" s="1"/>
  <c r="K16" i="72" a="1"/>
  <c r="K16" i="72" s="1"/>
  <c r="V16" i="72"/>
  <c r="B16" i="72" s="1"/>
  <c r="A16" i="72"/>
  <c r="O16" i="72"/>
  <c r="BK16" i="72"/>
  <c r="V27" i="72"/>
  <c r="B27" i="72" s="1"/>
  <c r="A27" i="72"/>
  <c r="G27" i="72"/>
  <c r="M27" i="72"/>
  <c r="AB27" i="72" a="1"/>
  <c r="AB27" i="72" s="1"/>
  <c r="AR27" i="72"/>
  <c r="N27" i="72" a="1"/>
  <c r="N27" i="72" s="1"/>
  <c r="AC27" i="72"/>
  <c r="AS27" i="72"/>
  <c r="Q27" i="72"/>
  <c r="U27" i="72" a="1"/>
  <c r="U27" i="72" s="1"/>
  <c r="BU27" i="72"/>
  <c r="P27" i="72"/>
  <c r="Z27" i="72"/>
  <c r="J27" i="72"/>
  <c r="S27" i="72"/>
  <c r="BC27" i="72"/>
  <c r="BB27" i="72"/>
  <c r="Y27" i="72"/>
  <c r="T27" i="72"/>
  <c r="W27" i="72"/>
  <c r="AA27" i="72"/>
  <c r="T53" i="69"/>
  <c r="AB53" i="69" a="1"/>
  <c r="AB53" i="69" s="1"/>
  <c r="Z53" i="69"/>
  <c r="Y53" i="69"/>
  <c r="M53" i="69"/>
  <c r="W53" i="69"/>
  <c r="BL53" i="69" s="1" a="1"/>
  <c r="BL53" i="69" s="1"/>
  <c r="P53" i="69"/>
  <c r="A53" i="69"/>
  <c r="Q53" i="69"/>
  <c r="S53" i="69"/>
  <c r="AA53" i="69"/>
  <c r="AC53" i="69"/>
  <c r="AX53" i="69"/>
  <c r="N53" i="69" a="1"/>
  <c r="N53" i="69" s="1"/>
  <c r="BP53" i="69"/>
  <c r="AW53" i="69"/>
  <c r="AN53" i="69"/>
  <c r="U53" i="69" a="1"/>
  <c r="U53" i="69" s="1"/>
  <c r="J53" i="69"/>
  <c r="AM53" i="69"/>
  <c r="G53" i="69"/>
  <c r="V53" i="69"/>
  <c r="B53" i="69" s="1"/>
  <c r="BD53" i="69"/>
  <c r="K516" i="15" a="1"/>
  <c r="K516" i="15" s="1"/>
  <c r="J87" i="69"/>
  <c r="AN87" i="69"/>
  <c r="AC87" i="69"/>
  <c r="Y87" i="69"/>
  <c r="Q87" i="69"/>
  <c r="AA87" i="69"/>
  <c r="W87" i="69"/>
  <c r="L87" i="69" s="1"/>
  <c r="M87" i="69"/>
  <c r="P87" i="69"/>
  <c r="AW87" i="69"/>
  <c r="AM87" i="69"/>
  <c r="AB87" i="69" a="1"/>
  <c r="AB87" i="69" s="1"/>
  <c r="AX87" i="69"/>
  <c r="Z87" i="69"/>
  <c r="BP87" i="69"/>
  <c r="G87" i="69"/>
  <c r="T87" i="69"/>
  <c r="U87" i="69" a="1"/>
  <c r="U87" i="69" s="1"/>
  <c r="A87" i="69"/>
  <c r="N87" i="69" a="1"/>
  <c r="N87" i="69" s="1"/>
  <c r="S87" i="69"/>
  <c r="V87" i="69"/>
  <c r="B87" i="69" s="1"/>
  <c r="F38" i="23"/>
  <c r="CW61" i="4"/>
  <c r="CX61" i="4" s="1"/>
  <c r="Z15" i="69"/>
  <c r="Q15" i="69"/>
  <c r="AX15" i="69"/>
  <c r="W15" i="69"/>
  <c r="BL15" i="69" s="1" a="1"/>
  <c r="BL15" i="69" s="1"/>
  <c r="S15" i="69"/>
  <c r="G15" i="69"/>
  <c r="T15" i="69"/>
  <c r="V15" i="69"/>
  <c r="B15" i="69" s="1"/>
  <c r="AC15" i="69"/>
  <c r="BP15" i="69"/>
  <c r="AN15" i="69"/>
  <c r="P15" i="69"/>
  <c r="Y15" i="69"/>
  <c r="K15" i="69" a="1"/>
  <c r="K15" i="69" s="1"/>
  <c r="L15" i="69"/>
  <c r="N15" i="69" a="1"/>
  <c r="N15" i="69" s="1"/>
  <c r="M15" i="69"/>
  <c r="AW15" i="69"/>
  <c r="AB15" i="69" a="1"/>
  <c r="AB15" i="69" s="1"/>
  <c r="J15" i="69"/>
  <c r="AA15" i="69"/>
  <c r="AM15" i="69"/>
  <c r="U15" i="69" a="1"/>
  <c r="U15" i="69" s="1"/>
  <c r="A15" i="69"/>
  <c r="F15" i="69"/>
  <c r="AX1344" i="13"/>
  <c r="A1443" i="13"/>
  <c r="AX1346" i="13"/>
  <c r="A1445" i="13"/>
  <c r="AN37" i="69"/>
  <c r="L37" i="69"/>
  <c r="Z37" i="69"/>
  <c r="AW37" i="69"/>
  <c r="S37" i="69"/>
  <c r="AB37" i="69" a="1"/>
  <c r="AB37" i="69" s="1"/>
  <c r="Q37" i="69"/>
  <c r="BP37" i="69"/>
  <c r="M37" i="69"/>
  <c r="AC37" i="69"/>
  <c r="T37" i="69"/>
  <c r="Y37" i="69"/>
  <c r="V37" i="69"/>
  <c r="B37" i="69" s="1"/>
  <c r="A37" i="69"/>
  <c r="J37" i="69"/>
  <c r="AA37" i="69"/>
  <c r="W37" i="69"/>
  <c r="BK37" i="69" s="1"/>
  <c r="U37" i="69" a="1"/>
  <c r="U37" i="69" s="1"/>
  <c r="N37" i="69" a="1"/>
  <c r="N37" i="69" s="1"/>
  <c r="AM37" i="69"/>
  <c r="P37" i="69"/>
  <c r="G37" i="69"/>
  <c r="AX37" i="69"/>
  <c r="F77" i="72"/>
  <c r="E189" i="15"/>
  <c r="H185" i="15" s="1" a="1"/>
  <c r="H185" i="15" s="1"/>
  <c r="AN95" i="72"/>
  <c r="BD95" i="72"/>
  <c r="R95" i="72"/>
  <c r="AK95" i="72"/>
  <c r="BG95" i="72"/>
  <c r="BM95" i="72" a="1"/>
  <c r="BM95" i="72" s="1"/>
  <c r="BT95" i="72"/>
  <c r="AI95" i="72"/>
  <c r="BP95" i="72"/>
  <c r="BO95" i="72" s="1"/>
  <c r="BR95" i="72" s="1"/>
  <c r="BQ95" i="72" a="1"/>
  <c r="BQ95" i="72" s="1"/>
  <c r="E95" i="72"/>
  <c r="P80" i="9"/>
  <c r="JU37" i="71"/>
  <c r="E366" i="15"/>
  <c r="IT37" i="71"/>
  <c r="K500" i="15" a="1"/>
  <c r="K500" i="15" s="1"/>
  <c r="N500" i="15" a="1"/>
  <c r="N500" i="15" s="1"/>
  <c r="L500" i="15" a="1"/>
  <c r="L500" i="15" s="1"/>
  <c r="GL37" i="71"/>
  <c r="AY94" i="72" a="1"/>
  <c r="AY94" i="72" s="1"/>
  <c r="P85" i="9"/>
  <c r="AO96" i="69" a="1"/>
  <c r="AO96" i="69" s="1"/>
  <c r="IB37" i="71"/>
  <c r="FE21" i="71"/>
  <c r="AX55" i="4"/>
  <c r="AX97" i="4" s="1"/>
  <c r="CU55" i="4"/>
  <c r="CV55" i="4" s="1"/>
  <c r="CV97" i="4" s="1"/>
  <c r="FE35" i="71"/>
  <c r="FE12" i="71"/>
  <c r="FE8" i="71"/>
  <c r="AH66" i="4"/>
  <c r="AV1362" i="13" s="1"/>
  <c r="E66" i="4"/>
  <c r="BT66" i="4" s="1"/>
  <c r="DE66" i="4"/>
  <c r="CA12" i="4"/>
  <c r="AT12" i="4" a="1"/>
  <c r="AT12" i="4" s="1"/>
  <c r="H12" i="69" s="1"/>
  <c r="AU12" i="4"/>
  <c r="Y12" i="4"/>
  <c r="AV12" i="4" a="1"/>
  <c r="AV12" i="4" s="1"/>
  <c r="C12" i="72" s="1"/>
  <c r="D12" i="72" s="1" a="1"/>
  <c r="D12" i="72" s="1"/>
  <c r="BQ12" i="4"/>
  <c r="N531" i="15" a="1"/>
  <c r="N531" i="15" s="1"/>
  <c r="L531" i="15" a="1"/>
  <c r="L531" i="15" s="1"/>
  <c r="M531" i="15" a="1"/>
  <c r="M531" i="15" s="1"/>
  <c r="K531" i="15" a="1"/>
  <c r="K531" i="15" s="1"/>
  <c r="BB95" i="69"/>
  <c r="AQ95" i="69" s="1" a="1"/>
  <c r="AQ95" i="69" s="1"/>
  <c r="R95" i="69"/>
  <c r="BI95" i="69" a="1"/>
  <c r="BI95" i="69" s="1"/>
  <c r="AK95" i="69" a="1"/>
  <c r="AK95" i="69" s="1"/>
  <c r="BO95" i="69"/>
  <c r="BH95" i="69" a="1"/>
  <c r="BH95" i="69" s="1"/>
  <c r="AY95" i="69"/>
  <c r="BK95" i="69"/>
  <c r="BJ95" i="69" s="1"/>
  <c r="BM95" i="69" s="1"/>
  <c r="BL95" i="69" a="1"/>
  <c r="BL95" i="69" s="1"/>
  <c r="E95" i="69"/>
  <c r="BC95" i="69"/>
  <c r="P86" i="9"/>
  <c r="AP76" i="4"/>
  <c r="AV378" i="13" s="1"/>
  <c r="AV478" i="13" s="1"/>
  <c r="AV526" i="13"/>
  <c r="BL24" i="4"/>
  <c r="BM24" i="4" s="1"/>
  <c r="BE24" i="4" s="1" a="1"/>
  <c r="BE24" i="4" s="1"/>
  <c r="BH24" i="4"/>
  <c r="DV24" i="4"/>
  <c r="DV6" i="4"/>
  <c r="AV508" i="13"/>
  <c r="BL6" i="4"/>
  <c r="BI6" i="72" s="1"/>
  <c r="BH6" i="4"/>
  <c r="AH80" i="4"/>
  <c r="AV1376" i="13" s="1"/>
  <c r="DE80" i="4"/>
  <c r="E80" i="4"/>
  <c r="CA29" i="4"/>
  <c r="AT29" i="4" a="1"/>
  <c r="AT29" i="4" s="1"/>
  <c r="H29" i="69" s="1"/>
  <c r="AU29" i="4"/>
  <c r="AV29" i="4" a="1"/>
  <c r="AV29" i="4" s="1"/>
  <c r="C29" i="69" s="1"/>
  <c r="D29" i="69" s="1" a="1"/>
  <c r="D29" i="69" s="1"/>
  <c r="Y29" i="4"/>
  <c r="BQ29" i="4"/>
  <c r="CY29" i="4"/>
  <c r="CZ29" i="4" s="1"/>
  <c r="F88" i="4"/>
  <c r="AH94" i="4"/>
  <c r="AV1390" i="13" s="1"/>
  <c r="BQ79" i="4"/>
  <c r="L488" i="15" a="1"/>
  <c r="L488" i="15" s="1"/>
  <c r="T58" i="69"/>
  <c r="BN58" i="69" s="1"/>
  <c r="BJ58" i="69"/>
  <c r="BM58" i="69" s="1"/>
  <c r="AZ58" i="69"/>
  <c r="AG58" i="69" s="1" a="1"/>
  <c r="AG58" i="69" s="1"/>
  <c r="BT32" i="4"/>
  <c r="BD32" i="4"/>
  <c r="BR32" i="4" s="1"/>
  <c r="E490" i="15"/>
  <c r="H488" i="15" s="1" a="1"/>
  <c r="H488" i="15" s="1"/>
  <c r="E390" i="15"/>
  <c r="BR42" i="4"/>
  <c r="O42" i="69" s="1"/>
  <c r="CA30" i="4"/>
  <c r="AT30" i="4" a="1"/>
  <c r="AT30" i="4" s="1"/>
  <c r="H30" i="69" s="1"/>
  <c r="AU30" i="4"/>
  <c r="Y30" i="4"/>
  <c r="AV30" i="4" a="1"/>
  <c r="AV30" i="4" s="1"/>
  <c r="C30" i="69" s="1"/>
  <c r="D30" i="69" s="1" a="1"/>
  <c r="D30" i="69" s="1"/>
  <c r="BQ30" i="4"/>
  <c r="P87" i="9"/>
  <c r="N603" i="15" a="1"/>
  <c r="N603" i="15" s="1"/>
  <c r="K603" i="15" a="1"/>
  <c r="K603" i="15" s="1"/>
  <c r="M603" i="15" a="1"/>
  <c r="M603" i="15" s="1"/>
  <c r="BD12" i="4"/>
  <c r="X12" i="4" s="1"/>
  <c r="CA34" i="4"/>
  <c r="Y34" i="4"/>
  <c r="AV34" i="4" a="1"/>
  <c r="AV34" i="4" s="1"/>
  <c r="C34" i="69" s="1"/>
  <c r="AT34" i="4" a="1"/>
  <c r="AT34" i="4" s="1"/>
  <c r="H34" i="72" s="1"/>
  <c r="AU34" i="4"/>
  <c r="BQ34" i="4"/>
  <c r="CA15" i="4"/>
  <c r="Y15" i="4"/>
  <c r="AU15" i="4"/>
  <c r="AV15" i="4" a="1"/>
  <c r="AV15" i="4" s="1"/>
  <c r="C15" i="69" s="1"/>
  <c r="AT15" i="4" a="1"/>
  <c r="AT15" i="4" s="1"/>
  <c r="H15" i="69" s="1"/>
  <c r="BQ15" i="4"/>
  <c r="CY15" i="4"/>
  <c r="CZ15" i="4" s="1"/>
  <c r="DA92" i="4" a="1"/>
  <c r="DA92" i="4" s="1"/>
  <c r="AZ96" i="69"/>
  <c r="AI96" i="69" s="1" a="1"/>
  <c r="AI96" i="69" s="1"/>
  <c r="BA96" i="69"/>
  <c r="CA26" i="4"/>
  <c r="Y26" i="4"/>
  <c r="AU26" i="4"/>
  <c r="AV26" i="4" a="1"/>
  <c r="AV26" i="4" s="1"/>
  <c r="C26" i="72" s="1"/>
  <c r="D26" i="72" s="1" a="1"/>
  <c r="D26" i="72" s="1"/>
  <c r="AT26" i="4" a="1"/>
  <c r="AT26" i="4" s="1"/>
  <c r="H26" i="72" s="1"/>
  <c r="CY26" i="4"/>
  <c r="CZ26" i="4" s="1"/>
  <c r="P28" i="9" s="1"/>
  <c r="BQ26" i="4"/>
  <c r="AX1360" i="13"/>
  <c r="A1459" i="13"/>
  <c r="AX1315" i="13"/>
  <c r="A1414" i="13"/>
  <c r="E72" i="15"/>
  <c r="AM96" i="72"/>
  <c r="CA39" i="4"/>
  <c r="AU39" i="4"/>
  <c r="AT39" i="4" a="1"/>
  <c r="AT39" i="4" s="1"/>
  <c r="H39" i="69" s="1"/>
  <c r="AV39" i="4" a="1"/>
  <c r="AV39" i="4" s="1"/>
  <c r="C39" i="69" s="1"/>
  <c r="D39" i="69" s="1" a="1"/>
  <c r="D39" i="69" s="1"/>
  <c r="Y39" i="4"/>
  <c r="BQ39" i="4"/>
  <c r="BL13" i="4"/>
  <c r="BM13" i="4" s="1"/>
  <c r="BE13" i="4" s="1" a="1"/>
  <c r="BE13" i="4" s="1"/>
  <c r="AV515" i="13"/>
  <c r="DV13" i="4"/>
  <c r="BH13" i="4"/>
  <c r="F81" i="4"/>
  <c r="BD39" i="4"/>
  <c r="X39" i="4" s="1"/>
  <c r="BT39" i="4"/>
  <c r="F78" i="4"/>
  <c r="DV50" i="4"/>
  <c r="BH50" i="4"/>
  <c r="BL50" i="4"/>
  <c r="AV552" i="13"/>
  <c r="AP62" i="4"/>
  <c r="AV364" i="13" s="1"/>
  <c r="AV464" i="13" s="1"/>
  <c r="BD38" i="4"/>
  <c r="BR38" i="4" s="1"/>
  <c r="BF26" i="4"/>
  <c r="L37" i="4"/>
  <c r="BR37" i="4"/>
  <c r="BF37" i="69" s="1"/>
  <c r="X37" i="4"/>
  <c r="BG37" i="4"/>
  <c r="AV1135" i="13" s="1"/>
  <c r="BR15" i="4"/>
  <c r="BF15" i="69" s="1"/>
  <c r="BG15" i="4"/>
  <c r="AV1113" i="13" s="1"/>
  <c r="X15" i="4"/>
  <c r="AM88" i="69"/>
  <c r="J88" i="69"/>
  <c r="V88" i="69"/>
  <c r="B88" i="69" s="1"/>
  <c r="A88" i="69"/>
  <c r="AW88" i="69"/>
  <c r="Y88" i="69"/>
  <c r="N88" i="69" a="1"/>
  <c r="N88" i="69" s="1"/>
  <c r="S88" i="69"/>
  <c r="Z88" i="69"/>
  <c r="Q88" i="69"/>
  <c r="AN88" i="69"/>
  <c r="W88" i="69"/>
  <c r="BK88" i="69" s="1"/>
  <c r="M88" i="69"/>
  <c r="P88" i="69"/>
  <c r="AB88" i="69" a="1"/>
  <c r="AB88" i="69" s="1"/>
  <c r="T88" i="69"/>
  <c r="AA88" i="69"/>
  <c r="AX88" i="69"/>
  <c r="AC88" i="69"/>
  <c r="BP88" i="69"/>
  <c r="G88" i="69"/>
  <c r="AX17" i="69"/>
  <c r="AC17" i="69"/>
  <c r="BP17" i="69"/>
  <c r="U17" i="69" a="1"/>
  <c r="U17" i="69" s="1"/>
  <c r="AB17" i="69" a="1"/>
  <c r="AB17" i="69" s="1"/>
  <c r="AN17" i="69"/>
  <c r="Z17" i="69"/>
  <c r="M17" i="69"/>
  <c r="P17" i="69"/>
  <c r="S17" i="69"/>
  <c r="N17" i="69" a="1"/>
  <c r="N17" i="69" s="1"/>
  <c r="K17" i="69" a="1"/>
  <c r="K17" i="69" s="1"/>
  <c r="AA17" i="69"/>
  <c r="A17" i="69"/>
  <c r="V17" i="69"/>
  <c r="B17" i="69" s="1"/>
  <c r="G17" i="69"/>
  <c r="J17" i="69"/>
  <c r="Y17" i="69"/>
  <c r="AW17" i="69"/>
  <c r="Q17" i="69"/>
  <c r="AM17" i="69"/>
  <c r="W17" i="69"/>
  <c r="T17" i="69"/>
  <c r="BD17" i="69"/>
  <c r="A1479" i="13"/>
  <c r="AX1380" i="13"/>
  <c r="M83" i="72"/>
  <c r="BB83" i="72"/>
  <c r="A83" i="72"/>
  <c r="S83" i="72"/>
  <c r="AC83" i="72"/>
  <c r="Z83" i="72"/>
  <c r="T83" i="72"/>
  <c r="N83" i="72" a="1"/>
  <c r="N83" i="72" s="1"/>
  <c r="AR83" i="72"/>
  <c r="W83" i="72"/>
  <c r="AA83" i="72"/>
  <c r="BU83" i="72"/>
  <c r="U83" i="72" a="1"/>
  <c r="U83" i="72" s="1"/>
  <c r="BC83" i="72"/>
  <c r="AB83" i="72" a="1"/>
  <c r="AB83" i="72" s="1"/>
  <c r="J83" i="72"/>
  <c r="Q83" i="72"/>
  <c r="Y83" i="72"/>
  <c r="V83" i="72"/>
  <c r="B83" i="72" s="1"/>
  <c r="AS83" i="72"/>
  <c r="G83" i="72"/>
  <c r="L83" i="72"/>
  <c r="P83" i="72"/>
  <c r="BU86" i="72"/>
  <c r="BB86" i="72"/>
  <c r="Q86" i="72"/>
  <c r="S86" i="72"/>
  <c r="AR86" i="72"/>
  <c r="P86" i="72"/>
  <c r="V86" i="72"/>
  <c r="B86" i="72" s="1"/>
  <c r="AC86" i="72"/>
  <c r="BC86" i="72"/>
  <c r="AB86" i="72" a="1"/>
  <c r="AB86" i="72" s="1"/>
  <c r="A86" i="72"/>
  <c r="Y86" i="72"/>
  <c r="J86" i="72"/>
  <c r="N86" i="72" a="1"/>
  <c r="N86" i="72" s="1"/>
  <c r="AS86" i="72"/>
  <c r="Z86" i="72"/>
  <c r="M86" i="72"/>
  <c r="AA86" i="72"/>
  <c r="W86" i="72"/>
  <c r="BQ86" i="72" s="1" a="1"/>
  <c r="BQ86" i="72" s="1"/>
  <c r="T86" i="72"/>
  <c r="L86" i="72"/>
  <c r="G86" i="72"/>
  <c r="U86" i="72" a="1"/>
  <c r="U86" i="72" s="1"/>
  <c r="M46" i="72"/>
  <c r="Q46" i="72"/>
  <c r="A46" i="72"/>
  <c r="O46" i="72"/>
  <c r="T46" i="72"/>
  <c r="BK46" i="72"/>
  <c r="N46" i="72" a="1"/>
  <c r="N46" i="72" s="1"/>
  <c r="AA46" i="72"/>
  <c r="V46" i="72"/>
  <c r="B46" i="72" s="1"/>
  <c r="U46" i="72" a="1"/>
  <c r="U46" i="72" s="1"/>
  <c r="Z46" i="72"/>
  <c r="BC46" i="72"/>
  <c r="P46" i="72"/>
  <c r="J46" i="72"/>
  <c r="W46" i="72"/>
  <c r="BQ46" i="72" s="1" a="1"/>
  <c r="BQ46" i="72" s="1"/>
  <c r="Y46" i="72"/>
  <c r="AB46" i="72" a="1"/>
  <c r="AB46" i="72" s="1"/>
  <c r="S46" i="72"/>
  <c r="BU46" i="72"/>
  <c r="BB46" i="72"/>
  <c r="AS46" i="72"/>
  <c r="AC46" i="72"/>
  <c r="AR46" i="72"/>
  <c r="AD46" i="72"/>
  <c r="A1424" i="13"/>
  <c r="AX1325" i="13"/>
  <c r="T85" i="72"/>
  <c r="Z85" i="72"/>
  <c r="AS85" i="72"/>
  <c r="V85" i="72"/>
  <c r="B85" i="72" s="1"/>
  <c r="J85" i="72"/>
  <c r="AA85" i="72"/>
  <c r="N85" i="72" a="1"/>
  <c r="N85" i="72" s="1"/>
  <c r="W85" i="72"/>
  <c r="Q85" i="72"/>
  <c r="M85" i="72"/>
  <c r="Y85" i="72"/>
  <c r="S85" i="72"/>
  <c r="G85" i="72"/>
  <c r="BC85" i="72"/>
  <c r="AC85" i="72"/>
  <c r="P85" i="72"/>
  <c r="AB85" i="72" a="1"/>
  <c r="AB85" i="72" s="1"/>
  <c r="A85" i="72"/>
  <c r="L85" i="72"/>
  <c r="AR85" i="72"/>
  <c r="BB85" i="72"/>
  <c r="BU85" i="72"/>
  <c r="U85" i="72" a="1"/>
  <c r="U85" i="72" s="1"/>
  <c r="AC62" i="72"/>
  <c r="AB62" i="72" a="1"/>
  <c r="AB62" i="72" s="1"/>
  <c r="V62" i="72"/>
  <c r="B62" i="72" s="1"/>
  <c r="G62" i="72"/>
  <c r="S62" i="72"/>
  <c r="J62" i="72"/>
  <c r="AR62" i="72"/>
  <c r="BB62" i="72"/>
  <c r="A62" i="72"/>
  <c r="Y62" i="72"/>
  <c r="P62" i="72"/>
  <c r="Q62" i="72"/>
  <c r="T62" i="72"/>
  <c r="M62" i="72"/>
  <c r="Z62" i="72"/>
  <c r="AS62" i="72"/>
  <c r="BC62" i="72"/>
  <c r="W62" i="72"/>
  <c r="BQ62" i="72" s="1" a="1"/>
  <c r="BQ62" i="72" s="1"/>
  <c r="BU62" i="72"/>
  <c r="N62" i="72" a="1"/>
  <c r="N62" i="72" s="1"/>
  <c r="AA62" i="72"/>
  <c r="N28" i="69" a="1"/>
  <c r="N28" i="69" s="1"/>
  <c r="BP28" i="69"/>
  <c r="AN28" i="69"/>
  <c r="J28" i="69"/>
  <c r="A28" i="69"/>
  <c r="Z28" i="69"/>
  <c r="AC28" i="69"/>
  <c r="W28" i="69"/>
  <c r="BL28" i="69" s="1" a="1"/>
  <c r="BL28" i="69" s="1"/>
  <c r="M28" i="69"/>
  <c r="L28" i="69"/>
  <c r="AA28" i="69"/>
  <c r="AM28" i="69"/>
  <c r="U28" i="69" a="1"/>
  <c r="U28" i="69" s="1"/>
  <c r="AW28" i="69"/>
  <c r="S28" i="69"/>
  <c r="AB28" i="69" a="1"/>
  <c r="AB28" i="69" s="1"/>
  <c r="V28" i="69"/>
  <c r="B28" i="69" s="1"/>
  <c r="T28" i="69"/>
  <c r="G28" i="69"/>
  <c r="Q28" i="69"/>
  <c r="Y28" i="69"/>
  <c r="P28" i="69"/>
  <c r="AX28" i="69"/>
  <c r="K28" i="69" a="1"/>
  <c r="K28" i="69" s="1"/>
  <c r="BD28" i="69"/>
  <c r="AB76" i="69" a="1"/>
  <c r="AB76" i="69" s="1"/>
  <c r="AW76" i="69"/>
  <c r="AA76" i="69"/>
  <c r="BP76" i="69"/>
  <c r="V76" i="69"/>
  <c r="B76" i="69" s="1"/>
  <c r="T76" i="69"/>
  <c r="Y76" i="69"/>
  <c r="AM76" i="69"/>
  <c r="Z76" i="69"/>
  <c r="M76" i="69"/>
  <c r="AC76" i="69"/>
  <c r="S76" i="69"/>
  <c r="N76" i="69" a="1"/>
  <c r="N76" i="69" s="1"/>
  <c r="P76" i="69"/>
  <c r="G76" i="69"/>
  <c r="W76" i="69"/>
  <c r="BL76" i="69" s="1" a="1"/>
  <c r="BL76" i="69" s="1"/>
  <c r="Q76" i="69"/>
  <c r="J76" i="69"/>
  <c r="AN76" i="69"/>
  <c r="A76" i="69"/>
  <c r="AX76" i="69"/>
  <c r="A1423" i="13"/>
  <c r="AX1324" i="13"/>
  <c r="AW92" i="69"/>
  <c r="V92" i="69"/>
  <c r="A92" i="69"/>
  <c r="M92" i="69"/>
  <c r="AB92" i="69" a="1"/>
  <c r="AB92" i="69" s="1"/>
  <c r="AX92" i="69"/>
  <c r="Z92" i="69"/>
  <c r="AA92" i="69"/>
  <c r="N92" i="69" a="1"/>
  <c r="N92" i="69" s="1"/>
  <c r="T92" i="69"/>
  <c r="BP92" i="69"/>
  <c r="Y92" i="69"/>
  <c r="AC92" i="69"/>
  <c r="AM92" i="69"/>
  <c r="P92" i="69"/>
  <c r="Q92" i="69"/>
  <c r="AN92" i="69"/>
  <c r="W92" i="69"/>
  <c r="BK92" i="69" s="1"/>
  <c r="J92" i="69"/>
  <c r="U92" i="69" a="1"/>
  <c r="U92" i="69" s="1"/>
  <c r="L92" i="69"/>
  <c r="V7" i="69"/>
  <c r="B7" i="69" s="1"/>
  <c r="J7" i="69"/>
  <c r="Z7" i="69"/>
  <c r="W7" i="69"/>
  <c r="P7" i="69"/>
  <c r="AN7" i="69"/>
  <c r="K7" i="69" a="1"/>
  <c r="K7" i="69" s="1"/>
  <c r="M7" i="69"/>
  <c r="U7" i="69" a="1"/>
  <c r="U7" i="69" s="1"/>
  <c r="AM7" i="69"/>
  <c r="Y7" i="69"/>
  <c r="BP7" i="69"/>
  <c r="G7" i="69"/>
  <c r="A7" i="69"/>
  <c r="AC7" i="69"/>
  <c r="N7" i="69" a="1"/>
  <c r="N7" i="69" s="1"/>
  <c r="Q7" i="69"/>
  <c r="AX7" i="69"/>
  <c r="AW7" i="69"/>
  <c r="S7" i="69"/>
  <c r="AB7" i="69" a="1"/>
  <c r="AB7" i="69" s="1"/>
  <c r="T7" i="69"/>
  <c r="AA7" i="69"/>
  <c r="BF7" i="69"/>
  <c r="O7" i="69"/>
  <c r="A1412" i="13"/>
  <c r="AX1313" i="13"/>
  <c r="I34" i="72"/>
  <c r="BU87" i="72"/>
  <c r="S87" i="72"/>
  <c r="Z87" i="72"/>
  <c r="AR87" i="72"/>
  <c r="W87" i="72"/>
  <c r="BP87" i="72" s="1"/>
  <c r="Q87" i="72"/>
  <c r="AC87" i="72"/>
  <c r="A87" i="72"/>
  <c r="BB87" i="72"/>
  <c r="J87" i="72"/>
  <c r="BC87" i="72"/>
  <c r="U87" i="72" a="1"/>
  <c r="U87" i="72" s="1"/>
  <c r="P87" i="72"/>
  <c r="AB87" i="72" a="1"/>
  <c r="AB87" i="72" s="1"/>
  <c r="V87" i="72"/>
  <c r="B87" i="72" s="1"/>
  <c r="G87" i="72"/>
  <c r="N87" i="72" a="1"/>
  <c r="N87" i="72" s="1"/>
  <c r="AA87" i="72"/>
  <c r="Y87" i="72"/>
  <c r="M87" i="72"/>
  <c r="T87" i="72"/>
  <c r="AS87" i="72"/>
  <c r="Z44" i="23"/>
  <c r="P38" i="23"/>
  <c r="BD26" i="4"/>
  <c r="BR26" i="4" s="1"/>
  <c r="BT26" i="4"/>
  <c r="DA61" i="4" a="1"/>
  <c r="DA61" i="4" s="1"/>
  <c r="S15" i="72"/>
  <c r="Q15" i="72"/>
  <c r="Z15" i="72"/>
  <c r="N15" i="72" a="1"/>
  <c r="N15" i="72" s="1"/>
  <c r="W15" i="72"/>
  <c r="BQ15" i="72" s="1" a="1"/>
  <c r="BQ15" i="72" s="1"/>
  <c r="A15" i="72"/>
  <c r="Y15" i="72"/>
  <c r="P15" i="72"/>
  <c r="U15" i="72" a="1"/>
  <c r="U15" i="72" s="1"/>
  <c r="AR15" i="72"/>
  <c r="M15" i="72"/>
  <c r="AA15" i="72"/>
  <c r="BB15" i="72"/>
  <c r="BU15" i="72"/>
  <c r="AS15" i="72"/>
  <c r="BC15" i="72"/>
  <c r="AB15" i="72" a="1"/>
  <c r="AB15" i="72" s="1"/>
  <c r="T15" i="72"/>
  <c r="AC15" i="72"/>
  <c r="V15" i="72"/>
  <c r="B15" i="72" s="1"/>
  <c r="K15" i="72" a="1"/>
  <c r="K15" i="72" s="1"/>
  <c r="L15" i="72"/>
  <c r="G15" i="72"/>
  <c r="J15" i="72"/>
  <c r="H242" i="15" a="1"/>
  <c r="H242" i="15" s="1"/>
  <c r="F242" i="15" a="1"/>
  <c r="F242" i="15" s="1"/>
  <c r="M37" i="72"/>
  <c r="AC37" i="72"/>
  <c r="N37" i="72" a="1"/>
  <c r="N37" i="72" s="1"/>
  <c r="S37" i="72"/>
  <c r="U37" i="72" a="1"/>
  <c r="U37" i="72" s="1"/>
  <c r="AA37" i="72"/>
  <c r="Y37" i="72"/>
  <c r="V37" i="72"/>
  <c r="B37" i="72" s="1"/>
  <c r="G37" i="72"/>
  <c r="BC37" i="72"/>
  <c r="BU37" i="72"/>
  <c r="AR37" i="72"/>
  <c r="Z37" i="72"/>
  <c r="Q37" i="72"/>
  <c r="W37" i="72"/>
  <c r="BP37" i="72" s="1"/>
  <c r="L37" i="72"/>
  <c r="P37" i="72"/>
  <c r="BB37" i="72"/>
  <c r="AS37" i="72"/>
  <c r="A37" i="72"/>
  <c r="J37" i="72"/>
  <c r="AB37" i="72" a="1"/>
  <c r="AB37" i="72" s="1"/>
  <c r="T37" i="72"/>
  <c r="I39" i="69"/>
  <c r="K512" i="15" a="1"/>
  <c r="K512" i="15" s="1"/>
  <c r="E426" i="15"/>
  <c r="E255" i="15"/>
  <c r="H249" i="15" s="1" a="1"/>
  <c r="H249" i="15" s="1"/>
  <c r="E279" i="15"/>
  <c r="P7" i="9"/>
  <c r="P97" i="9"/>
  <c r="E342" i="15"/>
  <c r="B55" i="4"/>
  <c r="E164" i="15" s="1"/>
  <c r="BA55" i="4" a="1"/>
  <c r="BA55" i="4" s="1"/>
  <c r="BB55" i="4" s="1"/>
  <c r="AV157" i="13" s="1"/>
  <c r="W3" i="1" a="1"/>
  <c r="W3" i="1" s="1"/>
  <c r="W101" i="1" s="1"/>
  <c r="C55" i="1"/>
  <c r="AS3" i="1" a="1"/>
  <c r="AS3" i="1" s="1"/>
  <c r="AS101" i="1" s="1"/>
  <c r="Q3" i="1" a="1"/>
  <c r="Q3" i="1" s="1"/>
  <c r="Q101" i="1" s="1"/>
  <c r="AK3" i="1" a="1"/>
  <c r="AK3" i="1" s="1"/>
  <c r="AK101" i="1" s="1"/>
  <c r="Y3" i="1" a="1"/>
  <c r="Y3" i="1" s="1"/>
  <c r="Y101" i="1" s="1"/>
  <c r="AC3" i="1" a="1"/>
  <c r="AC3" i="1" s="1"/>
  <c r="AC101" i="1" s="1"/>
  <c r="I3" i="1" a="1"/>
  <c r="I3" i="1" s="1"/>
  <c r="I101" i="1" s="1"/>
  <c r="AA3" i="1" a="1"/>
  <c r="AA3" i="1" s="1"/>
  <c r="AA101" i="1" s="1"/>
  <c r="AV539" i="13"/>
  <c r="BH37" i="4"/>
  <c r="BL37" i="4"/>
  <c r="BM37" i="4" s="1"/>
  <c r="BE37" i="4" s="1" a="1"/>
  <c r="BE37" i="4" s="1"/>
  <c r="DV37" i="4"/>
  <c r="F235" i="15" a="1"/>
  <c r="F235" i="15" s="1"/>
  <c r="H235" i="15" a="1"/>
  <c r="H235" i="15" s="1"/>
  <c r="F57" i="4"/>
  <c r="AT41" i="4" a="1"/>
  <c r="AT41" i="4" s="1"/>
  <c r="H41" i="72" s="1"/>
  <c r="AU41" i="4"/>
  <c r="AV41" i="4" a="1"/>
  <c r="AV41" i="4" s="1"/>
  <c r="C41" i="72" s="1"/>
  <c r="D41" i="72" s="1" a="1"/>
  <c r="D41" i="72" s="1"/>
  <c r="Y41" i="4"/>
  <c r="BQ41" i="4"/>
  <c r="CY41" i="4"/>
  <c r="CZ41" i="4" s="1"/>
  <c r="F67" i="4"/>
  <c r="BP58" i="72"/>
  <c r="BO58" i="72" s="1"/>
  <c r="BR58" i="72" s="1"/>
  <c r="R58" i="72"/>
  <c r="AN58" i="72"/>
  <c r="AK58" i="72"/>
  <c r="BN58" i="72" a="1"/>
  <c r="BN58" i="72" s="1"/>
  <c r="AP58" i="72" a="1"/>
  <c r="AP58" i="72" s="1"/>
  <c r="BD58" i="72"/>
  <c r="BG58" i="72"/>
  <c r="AV58" i="72" s="1" a="1"/>
  <c r="AV58" i="72" s="1"/>
  <c r="BT58" i="72"/>
  <c r="BM58" i="72" a="1"/>
  <c r="BM58" i="72" s="1"/>
  <c r="DV84" i="4"/>
  <c r="AV586" i="13"/>
  <c r="BL84" i="4"/>
  <c r="BM84" i="4" s="1"/>
  <c r="BE84" i="4" s="1" a="1"/>
  <c r="BE84" i="4" s="1"/>
  <c r="BH84" i="4"/>
  <c r="P84" i="9"/>
  <c r="HS37" i="71"/>
  <c r="F94" i="4"/>
  <c r="BM3" i="4"/>
  <c r="BI3" i="72"/>
  <c r="AD3" i="72"/>
  <c r="BD3" i="69"/>
  <c r="AD3" i="69"/>
  <c r="AM58" i="69"/>
  <c r="F238" i="15" a="1"/>
  <c r="F238" i="15" s="1"/>
  <c r="H238" i="15" a="1"/>
  <c r="H238" i="15" s="1"/>
  <c r="DV18" i="4"/>
  <c r="BL18" i="4"/>
  <c r="BM18" i="4" s="1"/>
  <c r="BE18" i="4" s="1" a="1"/>
  <c r="BE18" i="4" s="1"/>
  <c r="AV520" i="13"/>
  <c r="BH18" i="4"/>
  <c r="BL27" i="4"/>
  <c r="BM27" i="4" s="1"/>
  <c r="BE27" i="4" s="1" a="1"/>
  <c r="BE27" i="4" s="1"/>
  <c r="BH27" i="4"/>
  <c r="AV529" i="13"/>
  <c r="DV27" i="4"/>
  <c r="P73" i="9"/>
  <c r="AX1362" i="13"/>
  <c r="A1461" i="13"/>
  <c r="A1488" i="13"/>
  <c r="AX1389" i="13"/>
  <c r="AX1328" i="13"/>
  <c r="A1427" i="13"/>
  <c r="DV30" i="4"/>
  <c r="AV532" i="13"/>
  <c r="BH30" i="4"/>
  <c r="BL30" i="4"/>
  <c r="BM30" i="4" s="1"/>
  <c r="BE30" i="4" s="1" a="1"/>
  <c r="BE30" i="4" s="1"/>
  <c r="AU40" i="4"/>
  <c r="Y40" i="4"/>
  <c r="AV40" i="4" a="1"/>
  <c r="AV40" i="4" s="1"/>
  <c r="C40" i="72" s="1"/>
  <c r="AT40" i="4" a="1"/>
  <c r="AT40" i="4" s="1"/>
  <c r="H40" i="72" s="1"/>
  <c r="CY40" i="4"/>
  <c r="CZ40" i="4" s="1"/>
  <c r="BQ40" i="4"/>
  <c r="E502" i="15"/>
  <c r="F500" i="15" s="1" a="1"/>
  <c r="F500" i="15" s="1"/>
  <c r="DA81" i="4" a="1"/>
  <c r="DA81" i="4" s="1"/>
  <c r="AD9" i="69"/>
  <c r="DV15" i="4"/>
  <c r="AV517" i="13"/>
  <c r="BL15" i="4"/>
  <c r="BM15" i="4" s="1"/>
  <c r="BE15" i="4" s="1" a="1"/>
  <c r="BE15" i="4" s="1"/>
  <c r="BH15" i="4"/>
  <c r="CW92" i="4"/>
  <c r="CX92" i="4" s="1"/>
  <c r="P78" i="9"/>
  <c r="P67" i="9"/>
  <c r="DA87" i="4" a="1"/>
  <c r="DA87" i="4" s="1"/>
  <c r="AE95" i="72" a="1"/>
  <c r="AE95" i="72" s="1"/>
  <c r="AT95" i="72" s="1" a="1"/>
  <c r="AT95" i="72" s="1"/>
  <c r="DV39" i="4"/>
  <c r="AV541" i="13"/>
  <c r="BL39" i="4"/>
  <c r="BM39" i="4" s="1"/>
  <c r="BE39" i="4" s="1" a="1"/>
  <c r="BE39" i="4" s="1"/>
  <c r="BH39" i="4"/>
  <c r="E357" i="15"/>
  <c r="AH23" i="4"/>
  <c r="AV1319" i="13" s="1"/>
  <c r="L18" i="4"/>
  <c r="BG18" i="4"/>
  <c r="AV1116" i="13" s="1"/>
  <c r="X18" i="4"/>
  <c r="X44" i="4"/>
  <c r="BG44" i="4"/>
  <c r="AV1142" i="13" s="1"/>
  <c r="BR44" i="4"/>
  <c r="O44" i="72" s="1"/>
  <c r="L24" i="4"/>
  <c r="BR24" i="4"/>
  <c r="O24" i="69" s="1"/>
  <c r="BG24" i="4"/>
  <c r="AV1122" i="13" s="1"/>
  <c r="X24" i="4"/>
  <c r="BW55" i="4"/>
  <c r="BF43" i="4"/>
  <c r="X17" i="4"/>
  <c r="BG17" i="4"/>
  <c r="AV1115" i="13" s="1"/>
  <c r="BR17" i="4"/>
  <c r="BK17" i="72" s="1"/>
  <c r="X34" i="4"/>
  <c r="BG34" i="4"/>
  <c r="AV1132" i="13" s="1"/>
  <c r="BR34" i="4"/>
  <c r="O34" i="69" s="1"/>
  <c r="BR28" i="4"/>
  <c r="BK28" i="72" s="1"/>
  <c r="BG28" i="4"/>
  <c r="AV1126" i="13" s="1"/>
  <c r="X28" i="4"/>
  <c r="BJ55" i="4" a="1"/>
  <c r="DF55" i="4" a="1"/>
  <c r="BI55" i="4" a="1"/>
  <c r="BK55" i="4" a="1"/>
  <c r="K46" i="72" l="1" a="1"/>
  <c r="K46" i="72" s="1"/>
  <c r="K37" i="72" a="1"/>
  <c r="K37" i="72" s="1"/>
  <c r="L603" i="15" a="1"/>
  <c r="L603" i="15" s="1"/>
  <c r="O27" i="72"/>
  <c r="AD20" i="72"/>
  <c r="G653" i="15"/>
  <c r="I653" i="15" a="1"/>
  <c r="I653" i="15" s="1"/>
  <c r="AD45" i="72"/>
  <c r="BI45" i="72"/>
  <c r="G650" i="15"/>
  <c r="I650" i="15" a="1"/>
  <c r="I650" i="15" s="1"/>
  <c r="BD20" i="69"/>
  <c r="BI8" i="72"/>
  <c r="I8" i="27"/>
  <c r="AV1197" i="13" a="1"/>
  <c r="AV1197" i="13" s="1"/>
  <c r="E58" i="14"/>
  <c r="E57" i="14" s="1"/>
  <c r="F554" i="15" a="1"/>
  <c r="F554" i="15" s="1"/>
  <c r="H354" i="15" a="1"/>
  <c r="H354" i="15" s="1"/>
  <c r="H397" i="15" a="1"/>
  <c r="H397" i="15" s="1"/>
  <c r="H360" i="15" a="1"/>
  <c r="H360" i="15" s="1"/>
  <c r="H337" i="15" a="1"/>
  <c r="H337" i="15" s="1"/>
  <c r="H257" i="15" a="1"/>
  <c r="H257" i="15" s="1"/>
  <c r="H274" i="15" a="1"/>
  <c r="H274" i="15" s="1"/>
  <c r="I500" i="15" a="1"/>
  <c r="I500" i="15" s="1"/>
  <c r="I348" i="15" a="1"/>
  <c r="I348" i="15" s="1"/>
  <c r="I284" i="15" a="1"/>
  <c r="I284" i="15" s="1"/>
  <c r="I405" i="15" a="1"/>
  <c r="I405" i="15" s="1"/>
  <c r="I554" i="15" a="1"/>
  <c r="I554" i="15" s="1"/>
  <c r="I296" i="15" a="1"/>
  <c r="I296" i="15" s="1"/>
  <c r="I377" i="15" a="1"/>
  <c r="I377" i="15" s="1"/>
  <c r="I428" i="15" a="1"/>
  <c r="I428" i="15" s="1"/>
  <c r="I608" i="15" a="1"/>
  <c r="I608" i="15" s="1"/>
  <c r="M608" i="15" a="1"/>
  <c r="M608" i="15" s="1"/>
  <c r="I482" i="15" a="1"/>
  <c r="I482" i="15" s="1"/>
  <c r="I465" i="15" a="1"/>
  <c r="I465" i="15" s="1"/>
  <c r="I574" i="15" a="1"/>
  <c r="I574" i="15" s="1"/>
  <c r="H486" i="15" a="1"/>
  <c r="H486" i="15" s="1"/>
  <c r="H538" i="15" a="1"/>
  <c r="H538" i="15" s="1"/>
  <c r="H395" i="15" a="1"/>
  <c r="H395" i="15" s="1"/>
  <c r="H261" i="15" a="1"/>
  <c r="H261" i="15" s="1"/>
  <c r="I422" i="15" a="1"/>
  <c r="I422" i="15" s="1"/>
  <c r="H588" i="15" a="1"/>
  <c r="H588" i="15" s="1"/>
  <c r="H494" i="15" a="1"/>
  <c r="H494" i="15" s="1"/>
  <c r="H398" i="15" a="1"/>
  <c r="H398" i="15" s="1"/>
  <c r="I578" i="15" a="1"/>
  <c r="I578" i="15" s="1"/>
  <c r="I421" i="15" a="1"/>
  <c r="I421" i="15" s="1"/>
  <c r="F479" i="15" a="1"/>
  <c r="F479" i="15" s="1"/>
  <c r="H479" i="15" a="1"/>
  <c r="H479" i="15" s="1"/>
  <c r="H336" i="15" a="1"/>
  <c r="H336" i="15" s="1"/>
  <c r="I632" i="15" a="1"/>
  <c r="I632" i="15" s="1"/>
  <c r="I581" i="15" a="1"/>
  <c r="I581" i="15" s="1"/>
  <c r="F474" i="15" a="1"/>
  <c r="F474" i="15" s="1"/>
  <c r="I538" i="15" a="1"/>
  <c r="I538" i="15" s="1"/>
  <c r="I395" i="15" a="1"/>
  <c r="I395" i="15" s="1"/>
  <c r="F261" i="15" a="1"/>
  <c r="F261" i="15" s="1"/>
  <c r="I620" i="15" a="1"/>
  <c r="I620" i="15" s="1"/>
  <c r="I445" i="15" a="1"/>
  <c r="I445" i="15" s="1"/>
  <c r="H428" i="15" a="1"/>
  <c r="H428" i="15" s="1"/>
  <c r="I310" i="15" a="1"/>
  <c r="I310" i="15" s="1"/>
  <c r="H373" i="15" a="1"/>
  <c r="H373" i="15" s="1"/>
  <c r="I398" i="15" a="1"/>
  <c r="I398" i="15" s="1"/>
  <c r="I598" i="15" a="1"/>
  <c r="I598" i="15" s="1"/>
  <c r="I413" i="15" a="1"/>
  <c r="I413" i="15" s="1"/>
  <c r="H478" i="15" a="1"/>
  <c r="H478" i="15" s="1"/>
  <c r="H361" i="15" a="1"/>
  <c r="H361" i="15" s="1"/>
  <c r="H433" i="15" a="1"/>
  <c r="H433" i="15" s="1"/>
  <c r="F433" i="15" a="1"/>
  <c r="F433" i="15" s="1"/>
  <c r="H531" i="15" a="1"/>
  <c r="H531" i="15" s="1"/>
  <c r="F531" i="15" a="1"/>
  <c r="F531" i="15" s="1"/>
  <c r="I336" i="15" a="1"/>
  <c r="I336" i="15" s="1"/>
  <c r="H474" i="15" a="1"/>
  <c r="H474" i="15" s="1"/>
  <c r="H247" i="15" a="1"/>
  <c r="H247" i="15" s="1"/>
  <c r="I472" i="15" a="1"/>
  <c r="I472" i="15" s="1"/>
  <c r="F299" i="15" a="1"/>
  <c r="F299" i="15" s="1"/>
  <c r="I373" i="15" a="1"/>
  <c r="I373" i="15" s="1"/>
  <c r="H536" i="15" a="1"/>
  <c r="H536" i="15" s="1"/>
  <c r="I497" i="15" a="1"/>
  <c r="I497" i="15" s="1"/>
  <c r="I478" i="15" a="1"/>
  <c r="I478" i="15" s="1"/>
  <c r="F361" i="15" a="1"/>
  <c r="F361" i="15" s="1"/>
  <c r="F279" i="15" a="1"/>
  <c r="F279" i="15" s="1"/>
  <c r="H279" i="15" a="1"/>
  <c r="H279" i="15" s="1"/>
  <c r="H283" i="15" a="1"/>
  <c r="H283" i="15" s="1"/>
  <c r="F283" i="15" a="1"/>
  <c r="F283" i="15" s="1"/>
  <c r="F400" i="15" a="1"/>
  <c r="F400" i="15" s="1"/>
  <c r="H400" i="15" a="1"/>
  <c r="H400" i="15" s="1"/>
  <c r="I369" i="15" a="1"/>
  <c r="I369" i="15" s="1"/>
  <c r="I274" i="15" a="1"/>
  <c r="I274" i="15" s="1"/>
  <c r="I247" i="15" a="1"/>
  <c r="I247" i="15" s="1"/>
  <c r="I625" i="15" a="1"/>
  <c r="I625" i="15" s="1"/>
  <c r="H472" i="15" a="1"/>
  <c r="H472" i="15" s="1"/>
  <c r="I452" i="15" a="1"/>
  <c r="I452" i="15" s="1"/>
  <c r="I304" i="15" a="1"/>
  <c r="I304" i="15" s="1"/>
  <c r="I536" i="15" a="1"/>
  <c r="I536" i="15" s="1"/>
  <c r="H497" i="15" a="1"/>
  <c r="H497" i="15" s="1"/>
  <c r="I397" i="15" a="1"/>
  <c r="I397" i="15" s="1"/>
  <c r="H295" i="15" a="1"/>
  <c r="H295" i="15" s="1"/>
  <c r="H358" i="15" a="1"/>
  <c r="H358" i="15" s="1"/>
  <c r="F432" i="15" a="1"/>
  <c r="F432" i="15" s="1"/>
  <c r="H432" i="15" a="1"/>
  <c r="H432" i="15" s="1"/>
  <c r="I461" i="15" a="1"/>
  <c r="I461" i="15" s="1"/>
  <c r="I628" i="15" a="1"/>
  <c r="I628" i="15" s="1"/>
  <c r="H519" i="15" a="1"/>
  <c r="H519" i="15" s="1"/>
  <c r="I648" i="15" a="1"/>
  <c r="I648" i="15" s="1"/>
  <c r="H583" i="15" a="1"/>
  <c r="H583" i="15" s="1"/>
  <c r="I615" i="15" a="1"/>
  <c r="I615" i="15" s="1"/>
  <c r="F340" i="15" a="1"/>
  <c r="F340" i="15" s="1"/>
  <c r="H512" i="15" a="1"/>
  <c r="H512" i="15" s="1"/>
  <c r="I457" i="15" a="1"/>
  <c r="I457" i="15" s="1"/>
  <c r="H608" i="15" a="1"/>
  <c r="H608" i="15" s="1"/>
  <c r="I295" i="15" a="1"/>
  <c r="I295" i="15" s="1"/>
  <c r="F278" i="15" a="1"/>
  <c r="F278" i="15" s="1"/>
  <c r="H278" i="15" a="1"/>
  <c r="H278" i="15" s="1"/>
  <c r="F446" i="15" a="1"/>
  <c r="F446" i="15" s="1"/>
  <c r="H446" i="15" a="1"/>
  <c r="H446" i="15" s="1"/>
  <c r="I442" i="15" a="1"/>
  <c r="I442" i="15" s="1"/>
  <c r="F549" i="15" a="1"/>
  <c r="F549" i="15" s="1"/>
  <c r="F519" i="15" a="1"/>
  <c r="F519" i="15" s="1"/>
  <c r="H258" i="15" a="1"/>
  <c r="H258" i="15" s="1"/>
  <c r="I488" i="15" a="1"/>
  <c r="I488" i="15" s="1"/>
  <c r="I448" i="15" a="1"/>
  <c r="I448" i="15" s="1"/>
  <c r="I573" i="15" a="1"/>
  <c r="I573" i="15" s="1"/>
  <c r="I583" i="15" a="1"/>
  <c r="I583" i="15" s="1"/>
  <c r="I634" i="15" a="1"/>
  <c r="I634" i="15" s="1"/>
  <c r="H340" i="15" a="1"/>
  <c r="H340" i="15" s="1"/>
  <c r="H348" i="15" a="1"/>
  <c r="H348" i="15" s="1"/>
  <c r="I512" i="15" a="1"/>
  <c r="I512" i="15" s="1"/>
  <c r="H284" i="15" a="1"/>
  <c r="H284" i="15" s="1"/>
  <c r="F481" i="15" a="1"/>
  <c r="F481" i="15" s="1"/>
  <c r="H481" i="15" a="1"/>
  <c r="H481" i="15" s="1"/>
  <c r="H442" i="15" a="1"/>
  <c r="H442" i="15" s="1"/>
  <c r="H549" i="15" a="1"/>
  <c r="H549" i="15" s="1"/>
  <c r="I258" i="15" a="1"/>
  <c r="I258" i="15" s="1"/>
  <c r="H259" i="15" a="1"/>
  <c r="H259" i="15" s="1"/>
  <c r="H516" i="15" a="1"/>
  <c r="H516" i="15" s="1"/>
  <c r="I571" i="15" a="1"/>
  <c r="I571" i="15" s="1"/>
  <c r="H498" i="15" a="1"/>
  <c r="H498" i="15" s="1"/>
  <c r="F254" i="15" a="1"/>
  <c r="F254" i="15" s="1"/>
  <c r="H405" i="15" a="1"/>
  <c r="H405" i="15" s="1"/>
  <c r="H509" i="15" a="1"/>
  <c r="H509" i="15" s="1"/>
  <c r="H468" i="15" a="1"/>
  <c r="H468" i="15" s="1"/>
  <c r="H375" i="15" a="1"/>
  <c r="H375" i="15" s="1"/>
  <c r="F270" i="15" a="1"/>
  <c r="F270" i="15" s="1"/>
  <c r="H270" i="15" a="1"/>
  <c r="H270" i="15" s="1"/>
  <c r="H440" i="15" a="1"/>
  <c r="H440" i="15" s="1"/>
  <c r="I259" i="15" a="1"/>
  <c r="I259" i="15" s="1"/>
  <c r="F516" i="15" a="1"/>
  <c r="F516" i="15" s="1"/>
  <c r="I402" i="15" a="1"/>
  <c r="I402" i="15" s="1"/>
  <c r="I498" i="15" a="1"/>
  <c r="I498" i="15" s="1"/>
  <c r="H254" i="15" a="1"/>
  <c r="H254" i="15" s="1"/>
  <c r="H404" i="15" a="1"/>
  <c r="H404" i="15" s="1"/>
  <c r="I535" i="15" a="1"/>
  <c r="I535" i="15" s="1"/>
  <c r="F509" i="15" a="1"/>
  <c r="F509" i="15" s="1"/>
  <c r="I354" i="15" a="1"/>
  <c r="I354" i="15" s="1"/>
  <c r="I468" i="15" a="1"/>
  <c r="I468" i="15" s="1"/>
  <c r="I436" i="15" a="1"/>
  <c r="I436" i="15" s="1"/>
  <c r="F390" i="15" a="1"/>
  <c r="F390" i="15" s="1"/>
  <c r="H390" i="15" a="1"/>
  <c r="H390" i="15" s="1"/>
  <c r="F355" i="15" a="1"/>
  <c r="F355" i="15" s="1"/>
  <c r="H355" i="15" a="1"/>
  <c r="H355" i="15" s="1"/>
  <c r="F560" i="15" a="1"/>
  <c r="F560" i="15" s="1"/>
  <c r="H560" i="15" a="1"/>
  <c r="H560" i="15" s="1"/>
  <c r="H327" i="15" a="1"/>
  <c r="H327" i="15" s="1"/>
  <c r="F327" i="15" a="1"/>
  <c r="F327" i="15" s="1"/>
  <c r="I360" i="15" a="1"/>
  <c r="I360" i="15" s="1"/>
  <c r="I440" i="15" a="1"/>
  <c r="I440" i="15" s="1"/>
  <c r="I367" i="15" a="1"/>
  <c r="I367" i="15" s="1"/>
  <c r="I267" i="15" a="1"/>
  <c r="I267" i="15" s="1"/>
  <c r="H480" i="15" a="1"/>
  <c r="H480" i="15" s="1"/>
  <c r="H296" i="15" a="1"/>
  <c r="H296" i="15" s="1"/>
  <c r="H443" i="15" a="1"/>
  <c r="H443" i="15" s="1"/>
  <c r="H554" i="15" a="1"/>
  <c r="H554" i="15" s="1"/>
  <c r="H256" i="15" a="1"/>
  <c r="H256" i="15" s="1"/>
  <c r="I404" i="15" a="1"/>
  <c r="I404" i="15" s="1"/>
  <c r="H535" i="15" a="1"/>
  <c r="H535" i="15" s="1"/>
  <c r="I471" i="15" a="1"/>
  <c r="I471" i="15" s="1"/>
  <c r="I249" i="15" a="1"/>
  <c r="I249" i="15" s="1"/>
  <c r="F490" i="15" a="1"/>
  <c r="F490" i="15" s="1"/>
  <c r="H490" i="15" a="1"/>
  <c r="H490" i="15" s="1"/>
  <c r="F326" i="15" a="1"/>
  <c r="F326" i="15" s="1"/>
  <c r="H326" i="15" a="1"/>
  <c r="H326" i="15" s="1"/>
  <c r="F540" i="15" a="1"/>
  <c r="F540" i="15" s="1"/>
  <c r="H500" i="15" a="1"/>
  <c r="H500" i="15" s="1"/>
  <c r="I419" i="15" a="1"/>
  <c r="I419" i="15" s="1"/>
  <c r="H267" i="15" a="1"/>
  <c r="H267" i="15" s="1"/>
  <c r="I480" i="15" a="1"/>
  <c r="I480" i="15" s="1"/>
  <c r="I443" i="15" a="1"/>
  <c r="I443" i="15" s="1"/>
  <c r="I256" i="15" a="1"/>
  <c r="I256" i="15" s="1"/>
  <c r="I629" i="15" a="1"/>
  <c r="I629" i="15" s="1"/>
  <c r="H269" i="15" a="1"/>
  <c r="H269" i="15" s="1"/>
  <c r="H603" i="15" a="1"/>
  <c r="H603" i="15" s="1"/>
  <c r="F603" i="15" a="1"/>
  <c r="F603" i="15" s="1"/>
  <c r="H306" i="15" a="1"/>
  <c r="H306" i="15" s="1"/>
  <c r="F306" i="15" a="1"/>
  <c r="F306" i="15" s="1"/>
  <c r="H399" i="15" a="1"/>
  <c r="H399" i="15" s="1"/>
  <c r="F399" i="15" a="1"/>
  <c r="F399" i="15" s="1"/>
  <c r="H540" i="15" a="1"/>
  <c r="H540" i="15" s="1"/>
  <c r="H441" i="15" a="1"/>
  <c r="H441" i="15" s="1"/>
  <c r="I646" i="15" a="1"/>
  <c r="I646" i="15" s="1"/>
  <c r="I623" i="15" a="1"/>
  <c r="I623" i="15" s="1"/>
  <c r="H594" i="15" a="1"/>
  <c r="H594" i="15" s="1"/>
  <c r="I396" i="15" a="1"/>
  <c r="I396" i="15" s="1"/>
  <c r="H377" i="15" a="1"/>
  <c r="H377" i="15" s="1"/>
  <c r="H526" i="15" a="1"/>
  <c r="H526" i="15" s="1"/>
  <c r="H438" i="15" a="1"/>
  <c r="H438" i="15" s="1"/>
  <c r="I269" i="15" a="1"/>
  <c r="I269" i="15" s="1"/>
  <c r="F265" i="15" a="1"/>
  <c r="F265" i="15" s="1"/>
  <c r="H265" i="15" a="1"/>
  <c r="H265" i="15" s="1"/>
  <c r="F281" i="15" a="1"/>
  <c r="F281" i="15" s="1"/>
  <c r="H281" i="15" a="1"/>
  <c r="H281" i="15" s="1"/>
  <c r="H482" i="15" a="1"/>
  <c r="H482" i="15" s="1"/>
  <c r="I375" i="15" a="1"/>
  <c r="I375" i="15" s="1"/>
  <c r="I441" i="15" a="1"/>
  <c r="I441" i="15" s="1"/>
  <c r="I613" i="15" a="1"/>
  <c r="I613" i="15" s="1"/>
  <c r="I641" i="15" a="1"/>
  <c r="I641" i="15" s="1"/>
  <c r="I464" i="15" a="1"/>
  <c r="I464" i="15" s="1"/>
  <c r="I337" i="15" a="1"/>
  <c r="I337" i="15" s="1"/>
  <c r="I257" i="15" a="1"/>
  <c r="I257" i="15" s="1"/>
  <c r="F588" i="15" a="1"/>
  <c r="F588" i="15" s="1"/>
  <c r="F594" i="15" a="1"/>
  <c r="F594" i="15" s="1"/>
  <c r="I494" i="15" a="1"/>
  <c r="I494" i="15" s="1"/>
  <c r="H396" i="15" a="1"/>
  <c r="H396" i="15" s="1"/>
  <c r="I526" i="15" a="1"/>
  <c r="I526" i="15" s="1"/>
  <c r="I438" i="15" a="1"/>
  <c r="I438" i="15" s="1"/>
  <c r="G92" i="69"/>
  <c r="AD41" i="69"/>
  <c r="Z36" i="23"/>
  <c r="C58" i="23"/>
  <c r="B58" i="23"/>
  <c r="AD40" i="69"/>
  <c r="O19" i="69"/>
  <c r="AD19" i="69"/>
  <c r="BF19" i="69"/>
  <c r="BI20" i="72"/>
  <c r="AD5" i="72"/>
  <c r="BI42" i="72"/>
  <c r="G76" i="72"/>
  <c r="H233" i="15" a="1"/>
  <c r="H233" i="15" s="1"/>
  <c r="H231" i="15" a="1"/>
  <c r="H231" i="15" s="1"/>
  <c r="BB1768" i="13" a="1"/>
  <c r="BB1768" i="13" s="1"/>
  <c r="O14" i="72"/>
  <c r="AD14" i="69"/>
  <c r="O14" i="69"/>
  <c r="AD22" i="72"/>
  <c r="I76" i="69"/>
  <c r="BD89" i="4"/>
  <c r="BR48" i="4"/>
  <c r="BF48" i="69" s="1"/>
  <c r="BD66" i="4"/>
  <c r="BK19" i="72"/>
  <c r="BD14" i="69"/>
  <c r="O19" i="72"/>
  <c r="C7" i="72"/>
  <c r="BF14" i="69"/>
  <c r="K37" i="69" a="1"/>
  <c r="K37" i="69" s="1"/>
  <c r="BD79" i="69"/>
  <c r="BD82" i="4"/>
  <c r="BH82" i="4"/>
  <c r="E427" i="15"/>
  <c r="H421" i="15" s="1" a="1"/>
  <c r="H421" i="15" s="1"/>
  <c r="U88" i="69" a="1"/>
  <c r="U88" i="69" s="1"/>
  <c r="AD14" i="72"/>
  <c r="AD8" i="72"/>
  <c r="K49" i="69" a="1"/>
  <c r="K49" i="69" s="1"/>
  <c r="U70" i="69" a="1"/>
  <c r="U70" i="69" s="1"/>
  <c r="K53" i="69" a="1"/>
  <c r="K53" i="69" s="1"/>
  <c r="BF40" i="69"/>
  <c r="AD40" i="72"/>
  <c r="D40" i="72" a="1"/>
  <c r="D40" i="72" s="1"/>
  <c r="BK40" i="72"/>
  <c r="O40" i="72"/>
  <c r="H7" i="72"/>
  <c r="AD21" i="69"/>
  <c r="BD41" i="69"/>
  <c r="S92" i="69"/>
  <c r="BF95" i="72"/>
  <c r="O21" i="69"/>
  <c r="D5" i="72" a="1"/>
  <c r="D5" i="72" s="1"/>
  <c r="AG96" i="72" a="1"/>
  <c r="AG96" i="72" s="1"/>
  <c r="BI51" i="72"/>
  <c r="O5" i="72"/>
  <c r="C91" i="72"/>
  <c r="K27" i="72" a="1"/>
  <c r="K27" i="72" s="1"/>
  <c r="AD16" i="72"/>
  <c r="BK30" i="72"/>
  <c r="D31" i="69" a="1"/>
  <c r="D31" i="69" s="1"/>
  <c r="G92" i="72"/>
  <c r="AD7" i="69"/>
  <c r="BD77" i="69"/>
  <c r="X60" i="14"/>
  <c r="K36" i="14"/>
  <c r="B92" i="69"/>
  <c r="K43" i="72" a="1"/>
  <c r="K43" i="72" s="1"/>
  <c r="K45" i="72" a="1"/>
  <c r="K45" i="72" s="1"/>
  <c r="BI41" i="72"/>
  <c r="S57" i="69"/>
  <c r="B57" i="69"/>
  <c r="F60" i="72"/>
  <c r="BK21" i="72"/>
  <c r="AD53" i="69"/>
  <c r="H27" i="72"/>
  <c r="C17" i="69"/>
  <c r="K40" i="69" a="1"/>
  <c r="K40" i="69" s="1"/>
  <c r="K51" i="72" a="1"/>
  <c r="K51" i="72" s="1"/>
  <c r="D34" i="69" a="1"/>
  <c r="D34" i="69" s="1"/>
  <c r="BI36" i="72"/>
  <c r="BQ16" i="72" a="1"/>
  <c r="BQ16" i="72" s="1"/>
  <c r="U62" i="72" a="1"/>
  <c r="U62" i="72" s="1"/>
  <c r="BD45" i="69"/>
  <c r="BD36" i="69"/>
  <c r="K34" i="72" a="1"/>
  <c r="K34" i="72" s="1"/>
  <c r="BI16" i="72"/>
  <c r="K54" i="72" a="1"/>
  <c r="K54" i="72" s="1"/>
  <c r="K49" i="72" a="1"/>
  <c r="K49" i="72" s="1"/>
  <c r="K40" i="72" a="1"/>
  <c r="K40" i="72" s="1"/>
  <c r="AD41" i="72"/>
  <c r="BN44" i="69"/>
  <c r="E73" i="69"/>
  <c r="BM83" i="4"/>
  <c r="BE83" i="4" s="1" a="1"/>
  <c r="BE83" i="4" s="1"/>
  <c r="BD83" i="69"/>
  <c r="BI83" i="72"/>
  <c r="AD45" i="69"/>
  <c r="BH54" i="72"/>
  <c r="BS36" i="72"/>
  <c r="E80" i="72"/>
  <c r="BQ24" i="72" a="1"/>
  <c r="BQ24" i="72" s="1"/>
  <c r="BL83" i="69" a="1"/>
  <c r="BL83" i="69" s="1"/>
  <c r="BS73" i="72"/>
  <c r="BM90" i="4"/>
  <c r="BE90" i="4" s="1" a="1"/>
  <c r="BE90" i="4" s="1"/>
  <c r="BD90" i="69"/>
  <c r="BI90" i="72"/>
  <c r="O53" i="69"/>
  <c r="BK20" i="69"/>
  <c r="AE26" i="69" a="1"/>
  <c r="AE26" i="69" s="1"/>
  <c r="AS26" i="69" s="1" a="1"/>
  <c r="AS26" i="69" s="1"/>
  <c r="S57" i="72"/>
  <c r="B57" i="72"/>
  <c r="BS32" i="72"/>
  <c r="L79" i="69"/>
  <c r="BI43" i="72"/>
  <c r="L54" i="72"/>
  <c r="BN59" i="69"/>
  <c r="E93" i="69"/>
  <c r="BH34" i="72"/>
  <c r="BN32" i="69"/>
  <c r="H32" i="72"/>
  <c r="BK29" i="69"/>
  <c r="E48" i="69"/>
  <c r="BQ17" i="72" a="1"/>
  <c r="BQ17" i="72" s="1"/>
  <c r="L33" i="69"/>
  <c r="BP25" i="72"/>
  <c r="S92" i="72"/>
  <c r="AI92" i="72" s="1"/>
  <c r="BC81" i="69"/>
  <c r="U76" i="69" a="1"/>
  <c r="U76" i="69" s="1"/>
  <c r="AH80" i="72"/>
  <c r="BJ68" i="69"/>
  <c r="BM68" i="69" s="1"/>
  <c r="AE12" i="69" a="1"/>
  <c r="AE12" i="69" s="1"/>
  <c r="AS12" i="69" s="1" a="1"/>
  <c r="AS12" i="69" s="1"/>
  <c r="AE44" i="72" a="1"/>
  <c r="AE44" i="72" s="1"/>
  <c r="AX44" i="72" s="1" a="1"/>
  <c r="AX44" i="72" s="1"/>
  <c r="AE27" i="69" a="1"/>
  <c r="AE27" i="69" s="1"/>
  <c r="AS27" i="69" s="1" a="1"/>
  <c r="AS27" i="69" s="1"/>
  <c r="BP18" i="72"/>
  <c r="E31" i="69"/>
  <c r="AT8" i="69" a="1"/>
  <c r="AT8" i="69" s="1"/>
  <c r="AE91" i="69" a="1"/>
  <c r="AE91" i="69" s="1"/>
  <c r="BS67" i="72"/>
  <c r="BP14" i="72"/>
  <c r="E17" i="72"/>
  <c r="BO26" i="72"/>
  <c r="BR26" i="72" s="1"/>
  <c r="BN71" i="69"/>
  <c r="E42" i="72"/>
  <c r="BL93" i="69" a="1"/>
  <c r="BL93" i="69" s="1"/>
  <c r="BS25" i="72"/>
  <c r="BN13" i="69"/>
  <c r="E70" i="72"/>
  <c r="AY70" i="72" a="1"/>
  <c r="AY70" i="72" s="1"/>
  <c r="AE61" i="69" a="1"/>
  <c r="AE61" i="69" s="1"/>
  <c r="AE92" i="72" a="1"/>
  <c r="AE92" i="72" s="1"/>
  <c r="AX92" i="72" s="1" a="1"/>
  <c r="AX92" i="72" s="1"/>
  <c r="BN63" i="69"/>
  <c r="BN43" i="69"/>
  <c r="BK32" i="69"/>
  <c r="BJ32" i="69" s="1"/>
  <c r="BM32" i="69" s="1"/>
  <c r="BC19" i="69"/>
  <c r="E45" i="69"/>
  <c r="BH26" i="72"/>
  <c r="AE64" i="72" a="1"/>
  <c r="AE64" i="72" s="1"/>
  <c r="AH24" i="72"/>
  <c r="BC12" i="69"/>
  <c r="AP58" i="69" a="1"/>
  <c r="AP58" i="69" s="1"/>
  <c r="AE80" i="69" a="1"/>
  <c r="AE80" i="69" s="1"/>
  <c r="AE20" i="69" a="1"/>
  <c r="AE20" i="69" s="1"/>
  <c r="AS20" i="69" s="1" a="1"/>
  <c r="AS20" i="69" s="1"/>
  <c r="BS11" i="72"/>
  <c r="BK37" i="72"/>
  <c r="BH11" i="72"/>
  <c r="BH57" i="72"/>
  <c r="AM17" i="72"/>
  <c r="AT78" i="69" a="1"/>
  <c r="AT78" i="69" s="1"/>
  <c r="BQ76" i="72" a="1"/>
  <c r="BQ76" i="72" s="1"/>
  <c r="AT17" i="69" a="1"/>
  <c r="AT17" i="69" s="1"/>
  <c r="AE63" i="69" a="1"/>
  <c r="AE63" i="69" s="1"/>
  <c r="AS63" i="69" s="1" a="1"/>
  <c r="AS63" i="69" s="1"/>
  <c r="BC43" i="69"/>
  <c r="BN42" i="69"/>
  <c r="AM64" i="72"/>
  <c r="BH32" i="72"/>
  <c r="BM71" i="4"/>
  <c r="BE71" i="4" s="1" a="1"/>
  <c r="BE71" i="4" s="1"/>
  <c r="BI71" i="72"/>
  <c r="BD71" i="69"/>
  <c r="AT41" i="69" a="1"/>
  <c r="AT41" i="69" s="1"/>
  <c r="K48" i="69" a="1"/>
  <c r="K48" i="69" s="1"/>
  <c r="BQ69" i="72" a="1"/>
  <c r="BQ69" i="72" s="1"/>
  <c r="E47" i="72"/>
  <c r="BH82" i="72"/>
  <c r="BN50" i="69"/>
  <c r="BC50" i="69"/>
  <c r="E15" i="72"/>
  <c r="BH27" i="72"/>
  <c r="BH68" i="72"/>
  <c r="AE77" i="69" a="1"/>
  <c r="AE77" i="69" s="1"/>
  <c r="BN83" i="69"/>
  <c r="H42" i="69"/>
  <c r="E12" i="72"/>
  <c r="BI29" i="72"/>
  <c r="AM71" i="72"/>
  <c r="H17" i="69"/>
  <c r="AD50" i="69"/>
  <c r="D15" i="69" a="1"/>
  <c r="D15" i="69" s="1"/>
  <c r="B92" i="72"/>
  <c r="BS43" i="72"/>
  <c r="BH18" i="72"/>
  <c r="O54" i="72"/>
  <c r="K41" i="69" a="1"/>
  <c r="K41" i="69" s="1"/>
  <c r="AM5" i="72"/>
  <c r="BV5" i="72"/>
  <c r="AD31" i="72"/>
  <c r="AE42" i="69" a="1"/>
  <c r="AE42" i="69" s="1"/>
  <c r="E33" i="69"/>
  <c r="AD25" i="72"/>
  <c r="AE89" i="72" a="1"/>
  <c r="AE89" i="72" s="1"/>
  <c r="AX89" i="72" s="1" a="1"/>
  <c r="AX89" i="72" s="1"/>
  <c r="BS75" i="72"/>
  <c r="BH28" i="72"/>
  <c r="BH70" i="72"/>
  <c r="L76" i="72"/>
  <c r="BC86" i="69"/>
  <c r="AE88" i="69" a="1"/>
  <c r="AE88" i="69" s="1"/>
  <c r="AS88" i="69" s="1" a="1"/>
  <c r="AS88" i="69" s="1"/>
  <c r="L62" i="69"/>
  <c r="BN20" i="69"/>
  <c r="D43" i="69" a="1"/>
  <c r="D43" i="69" s="1"/>
  <c r="BN85" i="69"/>
  <c r="BK54" i="72"/>
  <c r="G83" i="69"/>
  <c r="BP11" i="72"/>
  <c r="BN35" i="69"/>
  <c r="L11" i="69"/>
  <c r="BH24" i="72"/>
  <c r="BQ74" i="72" a="1"/>
  <c r="BQ74" i="72" s="1"/>
  <c r="BN12" i="69"/>
  <c r="BH69" i="72"/>
  <c r="AE54" i="69" a="1"/>
  <c r="AE54" i="69" s="1"/>
  <c r="E41" i="72"/>
  <c r="BV31" i="72"/>
  <c r="BH46" i="72"/>
  <c r="BS18" i="72"/>
  <c r="D44" i="69" a="1"/>
  <c r="D44" i="69" s="1"/>
  <c r="BD25" i="69"/>
  <c r="AT26" i="69" a="1"/>
  <c r="AT26" i="69" s="1"/>
  <c r="AT70" i="69" a="1"/>
  <c r="AT70" i="69" s="1"/>
  <c r="BF53" i="69"/>
  <c r="AE86" i="69" a="1"/>
  <c r="AE86" i="69" s="1"/>
  <c r="E20" i="69"/>
  <c r="E35" i="69"/>
  <c r="U68" i="69" a="1"/>
  <c r="U68" i="69" s="1"/>
  <c r="BN78" i="69"/>
  <c r="AE78" i="72" a="1"/>
  <c r="AE78" i="72" s="1"/>
  <c r="AX78" i="72" s="1" a="1"/>
  <c r="AX78" i="72" s="1"/>
  <c r="BN88" i="69"/>
  <c r="BC92" i="69"/>
  <c r="AT5" i="69" a="1"/>
  <c r="AT5" i="69" s="1"/>
  <c r="E31" i="72"/>
  <c r="AE17" i="72" a="1"/>
  <c r="AE17" i="72" s="1"/>
  <c r="BS17" i="72"/>
  <c r="AE71" i="72" a="1"/>
  <c r="AE71" i="72" s="1"/>
  <c r="AX71" i="72" s="1" a="1"/>
  <c r="AX71" i="72" s="1"/>
  <c r="BC65" i="69"/>
  <c r="AT36" i="69" a="1"/>
  <c r="AT36" i="69" s="1"/>
  <c r="BN53" i="69"/>
  <c r="BS61" i="72"/>
  <c r="BP43" i="72"/>
  <c r="AE14" i="72" a="1"/>
  <c r="AE14" i="72" s="1"/>
  <c r="BN77" i="69"/>
  <c r="C48" i="72"/>
  <c r="AE88" i="72" a="1"/>
  <c r="AE88" i="72" s="1"/>
  <c r="AT43" i="69" a="1"/>
  <c r="AT43" i="69" s="1"/>
  <c r="AE31" i="69" a="1"/>
  <c r="AE31" i="69" s="1"/>
  <c r="AE64" i="69" a="1"/>
  <c r="AE64" i="69" s="1"/>
  <c r="AE25" i="69" a="1"/>
  <c r="AE25" i="69" s="1"/>
  <c r="BN51" i="69"/>
  <c r="BS8" i="72"/>
  <c r="BS41" i="72"/>
  <c r="D42" i="69" a="1"/>
  <c r="D42" i="69" s="1"/>
  <c r="BH81" i="72"/>
  <c r="E90" i="69"/>
  <c r="AE50" i="72" a="1"/>
  <c r="AE50" i="72" s="1"/>
  <c r="AX50" i="72" s="1" a="1"/>
  <c r="AX50" i="72" s="1"/>
  <c r="O54" i="69"/>
  <c r="BS52" i="72"/>
  <c r="BH72" i="72"/>
  <c r="L69" i="72"/>
  <c r="AT27" i="69" a="1"/>
  <c r="AT27" i="69" s="1"/>
  <c r="BN80" i="69"/>
  <c r="BM61" i="4"/>
  <c r="BE61" i="4" s="1" a="1"/>
  <c r="BE61" i="4" s="1"/>
  <c r="BI61" i="72"/>
  <c r="BD61" i="69"/>
  <c r="BM80" i="4"/>
  <c r="BE80" i="4" s="1" a="1"/>
  <c r="BE80" i="4" s="1"/>
  <c r="BD80" i="69"/>
  <c r="BI80" i="72"/>
  <c r="AH18" i="72"/>
  <c r="BQ47" i="72" a="1"/>
  <c r="BQ47" i="72" s="1"/>
  <c r="BQ53" i="72" a="1"/>
  <c r="BQ53" i="72" s="1"/>
  <c r="BC70" i="69"/>
  <c r="AF95" i="69" a="1"/>
  <c r="AF95" i="69" s="1"/>
  <c r="BC76" i="69"/>
  <c r="BN18" i="69"/>
  <c r="AT34" i="69" a="1"/>
  <c r="AT34" i="69" s="1"/>
  <c r="BD84" i="4"/>
  <c r="BH38" i="72"/>
  <c r="BL68" i="69" a="1"/>
  <c r="BL68" i="69" s="1"/>
  <c r="BN68" i="69"/>
  <c r="AT93" i="69" a="1"/>
  <c r="AT93" i="69" s="1"/>
  <c r="AE78" i="69" a="1"/>
  <c r="AE78" i="69" s="1"/>
  <c r="AS78" i="69" s="1" a="1"/>
  <c r="AS78" i="69" s="1"/>
  <c r="AE72" i="69" a="1"/>
  <c r="AE72" i="69" s="1"/>
  <c r="AH79" i="72"/>
  <c r="BQ51" i="69"/>
  <c r="BK70" i="69"/>
  <c r="BJ70" i="69" s="1"/>
  <c r="BM70" i="69" s="1"/>
  <c r="AS95" i="69" a="1"/>
  <c r="AS95" i="69" s="1"/>
  <c r="AE17" i="69" a="1"/>
  <c r="AE17" i="69" s="1"/>
  <c r="BS5" i="72"/>
  <c r="BS35" i="72"/>
  <c r="AE91" i="72" a="1"/>
  <c r="AE91" i="72" s="1"/>
  <c r="AX91" i="72" s="1" a="1"/>
  <c r="AX91" i="72" s="1"/>
  <c r="H55" i="15" a="1"/>
  <c r="H55" i="15" s="1"/>
  <c r="BC68" i="69"/>
  <c r="BS29" i="72"/>
  <c r="BD56" i="4"/>
  <c r="BQ56" i="72" a="1"/>
  <c r="BQ56" i="72" s="1"/>
  <c r="BC13" i="69"/>
  <c r="BS15" i="72"/>
  <c r="BO87" i="72"/>
  <c r="BR87" i="72" s="1"/>
  <c r="BN17" i="69"/>
  <c r="AE15" i="69" a="1"/>
  <c r="AE15" i="69" s="1"/>
  <c r="AS15" i="69" s="1" a="1"/>
  <c r="AS15" i="69" s="1"/>
  <c r="BK62" i="69"/>
  <c r="BH7" i="72"/>
  <c r="L22" i="69"/>
  <c r="BS51" i="72"/>
  <c r="BN46" i="69"/>
  <c r="BK34" i="69"/>
  <c r="BJ34" i="69" s="1"/>
  <c r="BM34" i="69" s="1"/>
  <c r="BS6" i="72"/>
  <c r="AT63" i="69" a="1"/>
  <c r="AT63" i="69" s="1"/>
  <c r="AY41" i="72" a="1"/>
  <c r="AY41" i="72" s="1"/>
  <c r="BS88" i="72"/>
  <c r="L57" i="72"/>
  <c r="E59" i="72"/>
  <c r="AT66" i="69" a="1"/>
  <c r="AT66" i="69" s="1"/>
  <c r="AH38" i="72"/>
  <c r="E38" i="72"/>
  <c r="AT74" i="69" a="1"/>
  <c r="AT74" i="69" s="1"/>
  <c r="BO93" i="72"/>
  <c r="BR93" i="72" s="1"/>
  <c r="AE66" i="72" a="1"/>
  <c r="AE66" i="72" s="1"/>
  <c r="AX66" i="72" s="1" a="1"/>
  <c r="AX66" i="72" s="1"/>
  <c r="AT71" i="69" a="1"/>
  <c r="AT71" i="69" s="1"/>
  <c r="B69" i="72"/>
  <c r="I68" i="69"/>
  <c r="I68" i="72"/>
  <c r="AE15" i="72" a="1"/>
  <c r="AE15" i="72" s="1"/>
  <c r="AX15" i="72" s="1" a="1"/>
  <c r="AX15" i="72" s="1"/>
  <c r="BS83" i="72"/>
  <c r="AE68" i="72" a="1"/>
  <c r="AE68" i="72" s="1"/>
  <c r="AQ68" i="72" s="1" a="1"/>
  <c r="AQ68" i="72" s="1"/>
  <c r="AT22" i="69" a="1"/>
  <c r="AT22" i="69" s="1"/>
  <c r="BF21" i="69"/>
  <c r="BC77" i="69"/>
  <c r="E46" i="69"/>
  <c r="AD21" i="72"/>
  <c r="E38" i="69"/>
  <c r="AM52" i="72"/>
  <c r="AE68" i="69" a="1"/>
  <c r="AE68" i="69" s="1"/>
  <c r="AH68" i="69" s="1" a="1"/>
  <c r="AH68" i="69" s="1"/>
  <c r="BP81" i="72"/>
  <c r="BO81" i="72" s="1"/>
  <c r="BR81" i="72" s="1"/>
  <c r="E91" i="69"/>
  <c r="BN64" i="69"/>
  <c r="E71" i="72"/>
  <c r="BV71" i="72"/>
  <c r="AE71" i="69" a="1"/>
  <c r="AE71" i="69" s="1"/>
  <c r="AF71" i="69" s="1" a="1"/>
  <c r="AF71" i="69" s="1"/>
  <c r="AE42" i="72" a="1"/>
  <c r="AE42" i="72" s="1"/>
  <c r="AX42" i="72" s="1" a="1"/>
  <c r="AX42" i="72" s="1"/>
  <c r="BD29" i="69"/>
  <c r="BN26" i="69"/>
  <c r="L76" i="69"/>
  <c r="O17" i="69"/>
  <c r="BC37" i="69"/>
  <c r="BN49" i="69"/>
  <c r="AH34" i="72"/>
  <c r="E43" i="72"/>
  <c r="BO45" i="72"/>
  <c r="BR45" i="72" s="1"/>
  <c r="BN19" i="69"/>
  <c r="BN34" i="69"/>
  <c r="BS21" i="72"/>
  <c r="AM35" i="72"/>
  <c r="AY57" i="72" a="1"/>
  <c r="AY57" i="72" s="1"/>
  <c r="BS57" i="72"/>
  <c r="BN84" i="69"/>
  <c r="BP59" i="72"/>
  <c r="AY52" i="72" a="1"/>
  <c r="AY52" i="72" s="1"/>
  <c r="BF25" i="69"/>
  <c r="BC78" i="69"/>
  <c r="AM72" i="72"/>
  <c r="BS69" i="72"/>
  <c r="BH25" i="72"/>
  <c r="AH77" i="72"/>
  <c r="BS70" i="72"/>
  <c r="BC67" i="69"/>
  <c r="AH82" i="72"/>
  <c r="T36" i="14"/>
  <c r="L36" i="14"/>
  <c r="Y36" i="14"/>
  <c r="AE32" i="72" a="1"/>
  <c r="AE32" i="72" s="1"/>
  <c r="AQ32" i="72" s="1" a="1"/>
  <c r="AQ32" i="72" s="1"/>
  <c r="BH89" i="72"/>
  <c r="AE87" i="69" a="1"/>
  <c r="AE87" i="69" s="1"/>
  <c r="AH87" i="72"/>
  <c r="BS62" i="72"/>
  <c r="BS85" i="72"/>
  <c r="AE85" i="72" a="1"/>
  <c r="AE85" i="72" s="1"/>
  <c r="AX85" i="72" s="1" a="1"/>
  <c r="AX85" i="72" s="1"/>
  <c r="E88" i="69"/>
  <c r="BN86" i="69"/>
  <c r="BS14" i="72"/>
  <c r="BN41" i="69"/>
  <c r="AE35" i="69" a="1"/>
  <c r="AE35" i="69" s="1"/>
  <c r="BD76" i="4"/>
  <c r="AI59" i="72"/>
  <c r="H131" i="15" a="1"/>
  <c r="H131" i="15" s="1"/>
  <c r="AE32" i="69" a="1"/>
  <c r="AE32" i="69" s="1"/>
  <c r="BS66" i="72"/>
  <c r="BL65" i="69" a="1"/>
  <c r="BL65" i="69" s="1"/>
  <c r="AE30" i="69" a="1"/>
  <c r="AE30" i="69" s="1"/>
  <c r="AS30" i="69" s="1" a="1"/>
  <c r="AS30" i="69" s="1"/>
  <c r="AM69" i="72"/>
  <c r="BC90" i="69"/>
  <c r="BH78" i="72"/>
  <c r="E72" i="69"/>
  <c r="AY75" i="72" a="1"/>
  <c r="AY75" i="72" s="1"/>
  <c r="E51" i="69"/>
  <c r="BN89" i="69"/>
  <c r="BN73" i="69"/>
  <c r="BN75" i="69"/>
  <c r="AL95" i="69" a="1"/>
  <c r="AL95" i="69" s="1"/>
  <c r="AV58" i="69" a="1"/>
  <c r="AV58" i="69" s="1"/>
  <c r="AE27" i="72" a="1"/>
  <c r="AE27" i="72" s="1"/>
  <c r="AX27" i="72" s="1" a="1"/>
  <c r="AX27" i="72" s="1"/>
  <c r="L46" i="69"/>
  <c r="BP88" i="72"/>
  <c r="AH88" i="72"/>
  <c r="AT38" i="69" a="1"/>
  <c r="AT38" i="69" s="1"/>
  <c r="BS33" i="72"/>
  <c r="BN74" i="69"/>
  <c r="BN39" i="69"/>
  <c r="BC8" i="69"/>
  <c r="BS81" i="72"/>
  <c r="AY93" i="72" a="1"/>
  <c r="AY93" i="72" s="1"/>
  <c r="E29" i="72"/>
  <c r="BK65" i="69"/>
  <c r="BJ65" i="69" s="1"/>
  <c r="BM65" i="69" s="1"/>
  <c r="D25" i="69" a="1"/>
  <c r="D25" i="69" s="1"/>
  <c r="BN29" i="69"/>
  <c r="AH13" i="72"/>
  <c r="AE25" i="72" a="1"/>
  <c r="AE25" i="72" s="1"/>
  <c r="AX25" i="72" s="1" a="1"/>
  <c r="AX25" i="72" s="1"/>
  <c r="BP79" i="72"/>
  <c r="BO79" i="72" s="1"/>
  <c r="BR79" i="72" s="1"/>
  <c r="BP36" i="72"/>
  <c r="AT89" i="69" a="1"/>
  <c r="AT89" i="69" s="1"/>
  <c r="BQ75" i="69"/>
  <c r="BK67" i="69"/>
  <c r="BJ67" i="69" s="1"/>
  <c r="BM67" i="69" s="1"/>
  <c r="BS53" i="72"/>
  <c r="AH95" i="69" a="1"/>
  <c r="AH95" i="69" s="1"/>
  <c r="AS58" i="69" a="1"/>
  <c r="AS58" i="69" s="1"/>
  <c r="BN15" i="69"/>
  <c r="C27" i="72"/>
  <c r="AH16" i="72"/>
  <c r="BS34" i="72"/>
  <c r="BC83" i="69"/>
  <c r="D48" i="69" a="1"/>
  <c r="D48" i="69" s="1"/>
  <c r="AE33" i="72" a="1"/>
  <c r="AE33" i="72" s="1"/>
  <c r="AO33" i="72" s="1" a="1"/>
  <c r="AO33" i="72" s="1"/>
  <c r="BS38" i="72"/>
  <c r="AY66" i="72" a="1"/>
  <c r="AY66" i="72" s="1"/>
  <c r="AT29" i="69" a="1"/>
  <c r="AT29" i="69" s="1"/>
  <c r="E79" i="72"/>
  <c r="AE77" i="72" a="1"/>
  <c r="AE77" i="72" s="1"/>
  <c r="AX77" i="72" s="1" a="1"/>
  <c r="AX77" i="72" s="1"/>
  <c r="BS56" i="72"/>
  <c r="AU95" i="69" a="1"/>
  <c r="AU95" i="69" s="1"/>
  <c r="AE7" i="69" a="1"/>
  <c r="AE7" i="69" s="1"/>
  <c r="AT14" i="69" a="1"/>
  <c r="AT14" i="69" s="1"/>
  <c r="BK46" i="69"/>
  <c r="BJ46" i="69" s="1"/>
  <c r="BM46" i="69" s="1"/>
  <c r="BS19" i="72"/>
  <c r="BH35" i="72"/>
  <c r="BV59" i="72"/>
  <c r="BC31" i="69"/>
  <c r="E32" i="69"/>
  <c r="BC39" i="69"/>
  <c r="BS71" i="72"/>
  <c r="BK25" i="69"/>
  <c r="BD69" i="4"/>
  <c r="BH73" i="72"/>
  <c r="L75" i="72"/>
  <c r="AT82" i="69" a="1"/>
  <c r="AT82" i="69" s="1"/>
  <c r="AT50" i="69" a="1"/>
  <c r="AT50" i="69" s="1"/>
  <c r="AJ95" i="69" a="1"/>
  <c r="AJ95" i="69" s="1"/>
  <c r="BO37" i="72"/>
  <c r="BR37" i="72" s="1"/>
  <c r="E92" i="72"/>
  <c r="BQ37" i="72" a="1"/>
  <c r="BQ37" i="72" s="1"/>
  <c r="BS87" i="72"/>
  <c r="AE92" i="69" a="1"/>
  <c r="AE92" i="69" s="1"/>
  <c r="AV92" i="69" s="1" a="1"/>
  <c r="AV92" i="69" s="1"/>
  <c r="BN28" i="69"/>
  <c r="BS7" i="72"/>
  <c r="AE7" i="72" a="1"/>
  <c r="AE7" i="72" s="1"/>
  <c r="F154" i="15" a="1"/>
  <c r="F154" i="15" s="1"/>
  <c r="AE18" i="69" a="1"/>
  <c r="AE18" i="69" s="1"/>
  <c r="AU18" i="69" s="1" a="1"/>
  <c r="AU18" i="69" s="1"/>
  <c r="BI14" i="72"/>
  <c r="BH49" i="72"/>
  <c r="E54" i="69"/>
  <c r="BV41" i="72"/>
  <c r="BN11" i="69"/>
  <c r="AE11" i="69" a="1"/>
  <c r="AE11" i="69" s="1"/>
  <c r="AS11" i="69" s="1" a="1"/>
  <c r="AS11" i="69" s="1"/>
  <c r="F76" i="15" a="1"/>
  <c r="F76" i="15" s="1"/>
  <c r="AT57" i="69" a="1"/>
  <c r="AT57" i="69" s="1"/>
  <c r="BC59" i="69"/>
  <c r="BN91" i="69"/>
  <c r="E66" i="72"/>
  <c r="AE39" i="72" a="1"/>
  <c r="AE39" i="72" s="1"/>
  <c r="BC64" i="69"/>
  <c r="BD74" i="4"/>
  <c r="BR74" i="4" s="1"/>
  <c r="BC47" i="69"/>
  <c r="AT75" i="69" a="1"/>
  <c r="AT75" i="69" s="1"/>
  <c r="BH53" i="72"/>
  <c r="BC16" i="69"/>
  <c r="AV95" i="69" a="1"/>
  <c r="AV95" i="69" s="1"/>
  <c r="BM66" i="4"/>
  <c r="BE66" i="4" s="1" a="1"/>
  <c r="BE66" i="4" s="1"/>
  <c r="BD66" i="69"/>
  <c r="BI66" i="72"/>
  <c r="BM68" i="4"/>
  <c r="BE68" i="4" s="1" a="1"/>
  <c r="BE68" i="4" s="1"/>
  <c r="BD68" i="69"/>
  <c r="BI68" i="72"/>
  <c r="BM63" i="4"/>
  <c r="BE63" i="4" s="1" a="1"/>
  <c r="BE63" i="4" s="1"/>
  <c r="BD63" i="69"/>
  <c r="BI63" i="72"/>
  <c r="E37" i="69"/>
  <c r="BC53" i="69"/>
  <c r="BH16" i="72"/>
  <c r="BN62" i="69"/>
  <c r="AY45" i="72" a="1"/>
  <c r="AY45" i="72" s="1"/>
  <c r="AE51" i="72" a="1"/>
  <c r="AE51" i="72" s="1"/>
  <c r="AX51" i="72" s="1" a="1"/>
  <c r="AX51" i="72" s="1"/>
  <c r="AE19" i="69" a="1"/>
  <c r="AE19" i="69" s="1"/>
  <c r="AL19" i="69" s="1" a="1"/>
  <c r="AL19" i="69" s="1"/>
  <c r="AE34" i="69" a="1"/>
  <c r="AE34" i="69" s="1"/>
  <c r="AS34" i="69" s="1" a="1"/>
  <c r="AS34" i="69" s="1"/>
  <c r="AE6" i="69" a="1"/>
  <c r="AE6" i="69" s="1"/>
  <c r="AF6" i="69" s="1" a="1"/>
  <c r="AF6" i="69" s="1"/>
  <c r="AY8" i="72" a="1"/>
  <c r="AY8" i="72" s="1"/>
  <c r="BH41" i="72"/>
  <c r="O48" i="69"/>
  <c r="AE84" i="69" a="1"/>
  <c r="AE84" i="69" s="1"/>
  <c r="AV84" i="69" s="1" a="1"/>
  <c r="AV84" i="69" s="1"/>
  <c r="AT56" i="69" a="1"/>
  <c r="AT56" i="69" s="1"/>
  <c r="AY17" i="72" a="1"/>
  <c r="AY17" i="72" s="1"/>
  <c r="BH17" i="72"/>
  <c r="BS26" i="72"/>
  <c r="AH84" i="72"/>
  <c r="D91" i="72" a="1"/>
  <c r="D91" i="72" s="1"/>
  <c r="BN66" i="69"/>
  <c r="BJ91" i="69"/>
  <c r="BM91" i="69" s="1"/>
  <c r="AT91" i="69" a="1"/>
  <c r="AT91" i="69" s="1"/>
  <c r="AY29" i="72" a="1"/>
  <c r="AY29" i="72" s="1"/>
  <c r="BH71" i="72"/>
  <c r="E67" i="72"/>
  <c r="AH28" i="72"/>
  <c r="BK51" i="69"/>
  <c r="E90" i="72"/>
  <c r="AT80" i="69" a="1"/>
  <c r="AT80" i="69" s="1"/>
  <c r="AY85" i="72" a="1"/>
  <c r="AY85" i="72" s="1"/>
  <c r="AT53" i="69" a="1"/>
  <c r="AT53" i="69" s="1"/>
  <c r="AH14" i="72"/>
  <c r="BQ51" i="72" a="1"/>
  <c r="BQ51" i="72" s="1"/>
  <c r="AE46" i="69" a="1"/>
  <c r="AE46" i="69" s="1"/>
  <c r="AS46" i="69" s="1" a="1"/>
  <c r="AS46" i="69" s="1"/>
  <c r="AT83" i="69" a="1"/>
  <c r="AT83" i="69" s="1"/>
  <c r="AH22" i="72"/>
  <c r="AE41" i="72" a="1"/>
  <c r="AE41" i="72" s="1"/>
  <c r="AX41" i="72" s="1" a="1"/>
  <c r="AX41" i="72" s="1"/>
  <c r="AD48" i="69"/>
  <c r="BH93" i="72"/>
  <c r="BS12" i="72"/>
  <c r="BP74" i="72"/>
  <c r="AE47" i="69" a="1"/>
  <c r="AE47" i="69" s="1"/>
  <c r="AS47" i="69" s="1" a="1"/>
  <c r="AS47" i="69" s="1"/>
  <c r="AY25" i="72" a="1"/>
  <c r="AY25" i="72" s="1"/>
  <c r="BH79" i="72"/>
  <c r="BS44" i="72"/>
  <c r="AE13" i="69" a="1"/>
  <c r="AE13" i="69" s="1"/>
  <c r="AV13" i="69" s="1" a="1"/>
  <c r="AV13" i="69" s="1"/>
  <c r="BN27" i="69"/>
  <c r="AY76" i="72" a="1"/>
  <c r="AY76" i="72" s="1"/>
  <c r="BI37" i="72"/>
  <c r="E46" i="72"/>
  <c r="BK17" i="69"/>
  <c r="AM54" i="72"/>
  <c r="AE52" i="69" a="1"/>
  <c r="AE52" i="69" s="1"/>
  <c r="AL52" i="69" s="1" a="1"/>
  <c r="AL52" i="69" s="1"/>
  <c r="AT90" i="69" a="1"/>
  <c r="AT90" i="69" s="1"/>
  <c r="AT40" i="69" a="1"/>
  <c r="AT40" i="69" s="1"/>
  <c r="AE85" i="69" a="1"/>
  <c r="AE85" i="69" s="1"/>
  <c r="AP85" i="69" s="1" a="1"/>
  <c r="AP85" i="69" s="1"/>
  <c r="AY15" i="72" a="1"/>
  <c r="AY15" i="72" s="1"/>
  <c r="AH86" i="72"/>
  <c r="BV83" i="72"/>
  <c r="AM83" i="72"/>
  <c r="BD37" i="69"/>
  <c r="BK53" i="69"/>
  <c r="BJ53" i="69" s="1"/>
  <c r="BM53" i="69" s="1"/>
  <c r="BS45" i="72"/>
  <c r="E77" i="69"/>
  <c r="BI11" i="72"/>
  <c r="BQ48" i="72" a="1"/>
  <c r="BQ48" i="72" s="1"/>
  <c r="AH21" i="72"/>
  <c r="B94" i="69"/>
  <c r="BS31" i="72"/>
  <c r="E84" i="69"/>
  <c r="BN38" i="69"/>
  <c r="L57" i="69"/>
  <c r="BL39" i="69" a="1"/>
  <c r="BL39" i="69" s="1"/>
  <c r="AM12" i="72"/>
  <c r="BQ32" i="72" a="1"/>
  <c r="BQ32" i="72" s="1"/>
  <c r="BH29" i="72"/>
  <c r="BN52" i="69"/>
  <c r="BN81" i="69"/>
  <c r="E65" i="69"/>
  <c r="L30" i="69"/>
  <c r="AY72" i="72" a="1"/>
  <c r="AY72" i="72" s="1"/>
  <c r="E29" i="69"/>
  <c r="E69" i="72"/>
  <c r="BS89" i="72"/>
  <c r="L47" i="69"/>
  <c r="E47" i="69"/>
  <c r="BH13" i="72"/>
  <c r="BN90" i="69"/>
  <c r="BS79" i="72"/>
  <c r="BS28" i="72"/>
  <c r="AE28" i="72" a="1"/>
  <c r="AE28" i="72" s="1"/>
  <c r="AZ28" i="72" s="1" a="1"/>
  <c r="AZ28" i="72" s="1"/>
  <c r="BP77" i="72"/>
  <c r="BN67" i="69"/>
  <c r="E70" i="69"/>
  <c r="BN70" i="69"/>
  <c r="BN61" i="69"/>
  <c r="AL58" i="69" a="1"/>
  <c r="AL58" i="69" s="1"/>
  <c r="AD37" i="72"/>
  <c r="O15" i="72"/>
  <c r="AD37" i="69"/>
  <c r="AH20" i="72"/>
  <c r="AH61" i="72"/>
  <c r="AY34" i="72" a="1"/>
  <c r="AY34" i="72" s="1"/>
  <c r="AE40" i="69" a="1"/>
  <c r="AE40" i="69" s="1"/>
  <c r="BS63" i="72"/>
  <c r="BJ83" i="69"/>
  <c r="BM83" i="69" s="1"/>
  <c r="C5" i="69"/>
  <c r="BK48" i="72"/>
  <c r="BH6" i="72"/>
  <c r="BC63" i="69"/>
  <c r="K54" i="69" a="1"/>
  <c r="K54" i="69" s="1"/>
  <c r="BH5" i="72"/>
  <c r="E11" i="69"/>
  <c r="U88" i="72" a="1"/>
  <c r="U88" i="72" s="1"/>
  <c r="AE48" i="69" a="1"/>
  <c r="AE48" i="69" s="1"/>
  <c r="AL48" i="69" s="1" a="1"/>
  <c r="AL48" i="69" s="1"/>
  <c r="BC42" i="69"/>
  <c r="AH59" i="72"/>
  <c r="BC57" i="69"/>
  <c r="E64" i="72"/>
  <c r="AM24" i="72"/>
  <c r="AT24" i="69" a="1"/>
  <c r="AT24" i="69" s="1"/>
  <c r="BN24" i="69"/>
  <c r="BP39" i="72"/>
  <c r="BO39" i="72" s="1"/>
  <c r="BR39" i="72" s="1"/>
  <c r="AH73" i="72"/>
  <c r="E82" i="69"/>
  <c r="BC82" i="69"/>
  <c r="BH77" i="72"/>
  <c r="AT69" i="69" a="1"/>
  <c r="AT69" i="69" s="1"/>
  <c r="E13" i="69"/>
  <c r="BL67" i="69" a="1"/>
  <c r="BL67" i="69" s="1"/>
  <c r="BS82" i="72"/>
  <c r="BV82" i="72"/>
  <c r="BH76" i="72"/>
  <c r="AF58" i="69" a="1"/>
  <c r="AF58" i="69" s="1"/>
  <c r="AD28" i="69"/>
  <c r="AE62" i="72" a="1"/>
  <c r="AE62" i="72" s="1"/>
  <c r="BA62" i="72" s="1" a="1"/>
  <c r="BA62" i="72" s="1"/>
  <c r="H15" i="72"/>
  <c r="AT7" i="69" a="1"/>
  <c r="AT7" i="69" s="1"/>
  <c r="BJ92" i="69"/>
  <c r="BM92" i="69" s="1"/>
  <c r="AE37" i="69" a="1"/>
  <c r="AE37" i="69" s="1"/>
  <c r="AL37" i="69" s="1" a="1"/>
  <c r="AL37" i="69" s="1"/>
  <c r="BN37" i="69"/>
  <c r="BS27" i="72"/>
  <c r="AT49" i="69" a="1"/>
  <c r="AT49" i="69" s="1"/>
  <c r="AT20" i="69" a="1"/>
  <c r="AT20" i="69" s="1"/>
  <c r="AT19" i="69" a="1"/>
  <c r="AT19" i="69" s="1"/>
  <c r="BO54" i="72"/>
  <c r="BR54" i="72" s="1"/>
  <c r="H5" i="69"/>
  <c r="AE5" i="69" a="1"/>
  <c r="AE5" i="69" s="1"/>
  <c r="AF5" i="69" s="1" a="1"/>
  <c r="AF5" i="69" s="1"/>
  <c r="BP6" i="72"/>
  <c r="BJ35" i="69"/>
  <c r="BM35" i="69" s="1"/>
  <c r="E63" i="69"/>
  <c r="AY19" i="72" a="1"/>
  <c r="AY19" i="72" s="1"/>
  <c r="AY22" i="72" a="1"/>
  <c r="AY22" i="72" s="1"/>
  <c r="BQ5" i="72" a="1"/>
  <c r="BQ5" i="72" s="1"/>
  <c r="BN48" i="69"/>
  <c r="BJ43" i="69"/>
  <c r="BM43" i="69" s="1"/>
  <c r="AE84" i="72" a="1"/>
  <c r="AE84" i="72" s="1"/>
  <c r="E79" i="69"/>
  <c r="BS39" i="72"/>
  <c r="AY42" i="72" a="1"/>
  <c r="AY42" i="72" s="1"/>
  <c r="AT81" i="69" a="1"/>
  <c r="AT81" i="69" s="1"/>
  <c r="BL12" i="69" a="1"/>
  <c r="BL12" i="69" s="1"/>
  <c r="E12" i="69"/>
  <c r="AI72" i="72"/>
  <c r="BC44" i="69"/>
  <c r="S69" i="72"/>
  <c r="AH47" i="72"/>
  <c r="AM90" i="72"/>
  <c r="AT16" i="69" a="1"/>
  <c r="AT16" i="69" s="1"/>
  <c r="AU58" i="69" a="1"/>
  <c r="AU58" i="69" s="1"/>
  <c r="BH37" i="72"/>
  <c r="L46" i="72"/>
  <c r="BH20" i="72"/>
  <c r="AT21" i="69" a="1"/>
  <c r="AT21" i="69" s="1"/>
  <c r="AH63" i="72"/>
  <c r="BS54" i="72"/>
  <c r="O48" i="72"/>
  <c r="BN31" i="69"/>
  <c r="AE57" i="69" a="1"/>
  <c r="AE57" i="69" s="1"/>
  <c r="AE33" i="69" a="1"/>
  <c r="AE33" i="69" s="1"/>
  <c r="AF33" i="69" s="1" a="1"/>
  <c r="AF33" i="69" s="1"/>
  <c r="BN47" i="69"/>
  <c r="AJ58" i="69" a="1"/>
  <c r="AJ58" i="69" s="1"/>
  <c r="AT46" i="69" a="1"/>
  <c r="AT46" i="69" s="1"/>
  <c r="AE6" i="72" a="1"/>
  <c r="AE6" i="72" s="1"/>
  <c r="AO6" i="72" s="1" a="1"/>
  <c r="AO6" i="72" s="1"/>
  <c r="AT6" i="69" a="1"/>
  <c r="AT6" i="69" s="1"/>
  <c r="E22" i="72"/>
  <c r="AE5" i="72" a="1"/>
  <c r="AE5" i="72" s="1"/>
  <c r="AZ5" i="72" s="1" a="1"/>
  <c r="AZ5" i="72" s="1"/>
  <c r="BS84" i="72"/>
  <c r="AY84" i="72" a="1"/>
  <c r="AY84" i="72" s="1"/>
  <c r="BH64" i="72"/>
  <c r="AY24" i="72" a="1"/>
  <c r="AY24" i="72" s="1"/>
  <c r="AE79" i="69" a="1"/>
  <c r="AE79" i="69" s="1"/>
  <c r="AF79" i="69" s="1" a="1"/>
  <c r="AF79" i="69" s="1"/>
  <c r="BH12" i="72"/>
  <c r="AM32" i="72"/>
  <c r="E39" i="72"/>
  <c r="AT64" i="69" a="1"/>
  <c r="AT64" i="69" s="1"/>
  <c r="BH42" i="72"/>
  <c r="BS42" i="72"/>
  <c r="AT12" i="69" a="1"/>
  <c r="AT12" i="69" s="1"/>
  <c r="AE29" i="69" a="1"/>
  <c r="AE29" i="69" s="1"/>
  <c r="AF29" i="69" s="1" a="1"/>
  <c r="AF29" i="69" s="1"/>
  <c r="BO69" i="72"/>
  <c r="BR69" i="72" s="1"/>
  <c r="AM28" i="72"/>
  <c r="E77" i="72"/>
  <c r="AE89" i="69" a="1"/>
  <c r="AE89" i="69" s="1"/>
  <c r="AS89" i="69" s="1" a="1"/>
  <c r="AS89" i="69" s="1"/>
  <c r="E67" i="69"/>
  <c r="AM53" i="72"/>
  <c r="E37" i="72"/>
  <c r="BI15" i="72"/>
  <c r="AT92" i="69" a="1"/>
  <c r="AT92" i="69" s="1"/>
  <c r="BH85" i="72"/>
  <c r="BJ88" i="69"/>
  <c r="BM88" i="69" s="1"/>
  <c r="AT88" i="69" a="1"/>
  <c r="AT88" i="69" s="1"/>
  <c r="E62" i="69"/>
  <c r="AY7" i="72" a="1"/>
  <c r="AY7" i="72" s="1"/>
  <c r="E7" i="72"/>
  <c r="BP20" i="72"/>
  <c r="BO20" i="72" s="1"/>
  <c r="BR20" i="72" s="1"/>
  <c r="BS20" i="72"/>
  <c r="E45" i="72"/>
  <c r="AR96" i="69" a="1"/>
  <c r="AR96" i="69" s="1"/>
  <c r="BC18" i="69"/>
  <c r="BN40" i="69"/>
  <c r="BO14" i="72"/>
  <c r="BR14" i="72" s="1"/>
  <c r="AE41" i="69" a="1"/>
  <c r="AE41" i="69" s="1"/>
  <c r="AP41" i="69" s="1" a="1"/>
  <c r="AP41" i="69" s="1"/>
  <c r="AD48" i="72"/>
  <c r="AT35" i="69" a="1"/>
  <c r="AT35" i="69" s="1"/>
  <c r="BK6" i="69"/>
  <c r="BN6" i="69"/>
  <c r="AE19" i="72" a="1"/>
  <c r="AE19" i="72" s="1"/>
  <c r="BA19" i="72" s="1" a="1"/>
  <c r="BA19" i="72" s="1"/>
  <c r="BJ56" i="69"/>
  <c r="BM56" i="69" s="1"/>
  <c r="BH52" i="72"/>
  <c r="AT32" i="69" a="1"/>
  <c r="AT32" i="69" s="1"/>
  <c r="AY33" i="72" a="1"/>
  <c r="AY33" i="72" s="1"/>
  <c r="BS64" i="72"/>
  <c r="BC74" i="69"/>
  <c r="AE65" i="72" a="1"/>
  <c r="AE65" i="72" s="1"/>
  <c r="AO65" i="72" s="1" a="1"/>
  <c r="AO65" i="72" s="1"/>
  <c r="BL64" i="69" a="1"/>
  <c r="BL64" i="69" s="1"/>
  <c r="BN30" i="69"/>
  <c r="AT30" i="69" a="1"/>
  <c r="AT30" i="69" s="1"/>
  <c r="AT44" i="69" a="1"/>
  <c r="AT44" i="69" s="1"/>
  <c r="BP73" i="72"/>
  <c r="BO73" i="72" s="1"/>
  <c r="BR73" i="72" s="1"/>
  <c r="BS78" i="72"/>
  <c r="AH67" i="72"/>
  <c r="E28" i="72"/>
  <c r="BN69" i="69"/>
  <c r="BQ13" i="69"/>
  <c r="BV90" i="72"/>
  <c r="L75" i="69"/>
  <c r="AE53" i="72" a="1"/>
  <c r="AE53" i="72" s="1"/>
  <c r="AQ53" i="72" s="1" a="1"/>
  <c r="AQ53" i="72" s="1"/>
  <c r="AE70" i="69" a="1"/>
  <c r="AE70" i="69" s="1"/>
  <c r="AL70" i="69" s="1" a="1"/>
  <c r="AL70" i="69" s="1"/>
  <c r="BS37" i="72"/>
  <c r="BC28" i="69"/>
  <c r="AY27" i="72" a="1"/>
  <c r="AY27" i="72" s="1"/>
  <c r="AT62" i="69" a="1"/>
  <c r="AT62" i="69" s="1"/>
  <c r="AM92" i="72"/>
  <c r="AY20" i="72" a="1"/>
  <c r="AY20" i="72" s="1"/>
  <c r="BH61" i="72"/>
  <c r="BC49" i="69"/>
  <c r="AY43" i="72" a="1"/>
  <c r="AY43" i="72" s="1"/>
  <c r="L18" i="69"/>
  <c r="AE40" i="72" a="1"/>
  <c r="AE40" i="72" s="1"/>
  <c r="BA40" i="72" s="1" a="1"/>
  <c r="BA40" i="72" s="1"/>
  <c r="AH51" i="72"/>
  <c r="AE54" i="72" a="1"/>
  <c r="AE54" i="72" s="1"/>
  <c r="BA54" i="72" s="1" a="1"/>
  <c r="BA54" i="72" s="1"/>
  <c r="AY49" i="72" a="1"/>
  <c r="AY49" i="72" s="1"/>
  <c r="BC34" i="69"/>
  <c r="AH48" i="72"/>
  <c r="BS48" i="72"/>
  <c r="AE45" i="69" a="1"/>
  <c r="AE45" i="69" s="1"/>
  <c r="AL45" i="69" s="1" a="1"/>
  <c r="AL45" i="69" s="1"/>
  <c r="O45" i="69"/>
  <c r="L8" i="72"/>
  <c r="BP5" i="72"/>
  <c r="BO5" i="72" s="1"/>
  <c r="BR5" i="72" s="1"/>
  <c r="BD11" i="69"/>
  <c r="BC56" i="69"/>
  <c r="BL42" i="69" a="1"/>
  <c r="BL42" i="69" s="1"/>
  <c r="BN57" i="69"/>
  <c r="AT59" i="69" a="1"/>
  <c r="AT59" i="69" s="1"/>
  <c r="AE39" i="69" a="1"/>
  <c r="AE39" i="69" s="1"/>
  <c r="AL39" i="69" s="1" a="1"/>
  <c r="AL39" i="69" s="1"/>
  <c r="BV81" i="72"/>
  <c r="AY12" i="72" a="1"/>
  <c r="AY12" i="72" s="1"/>
  <c r="E32" i="72"/>
  <c r="AE29" i="72" a="1"/>
  <c r="AE29" i="72" s="1"/>
  <c r="AF29" i="72" s="1" a="1"/>
  <c r="AF29" i="72" s="1"/>
  <c r="BC93" i="69"/>
  <c r="BC25" i="69"/>
  <c r="AM25" i="72"/>
  <c r="AH78" i="72"/>
  <c r="AE30" i="72" a="1"/>
  <c r="AE30" i="72" s="1"/>
  <c r="AF30" i="72" s="1" a="1"/>
  <c r="AF30" i="72" s="1"/>
  <c r="AH75" i="72"/>
  <c r="AH56" i="72"/>
  <c r="BK69" i="69"/>
  <c r="BJ69" i="69" s="1"/>
  <c r="BM69" i="69" s="1"/>
  <c r="BC89" i="69"/>
  <c r="BS47" i="72"/>
  <c r="AI82" i="72"/>
  <c r="BS76" i="72"/>
  <c r="BN45" i="69"/>
  <c r="O35" i="69"/>
  <c r="AY5" i="72" a="1"/>
  <c r="AY5" i="72" s="1"/>
  <c r="AT42" i="69" a="1"/>
  <c r="AT42" i="69" s="1"/>
  <c r="AM93" i="72"/>
  <c r="AE93" i="69" a="1"/>
  <c r="AE93" i="69" s="1"/>
  <c r="AF93" i="69" s="1" a="1"/>
  <c r="AF93" i="69" s="1"/>
  <c r="AT65" i="69" a="1"/>
  <c r="AT65" i="69" s="1"/>
  <c r="BN25" i="69"/>
  <c r="AH69" i="72"/>
  <c r="AE36" i="72" a="1"/>
  <c r="AE36" i="72" s="1"/>
  <c r="AL36" i="72" s="1" a="1"/>
  <c r="AL36" i="72" s="1"/>
  <c r="AT51" i="69" a="1"/>
  <c r="AT51" i="69" s="1"/>
  <c r="BS90" i="72"/>
  <c r="AY50" i="72" a="1"/>
  <c r="AY50" i="72" s="1"/>
  <c r="AE67" i="69" a="1"/>
  <c r="AE67" i="69" s="1"/>
  <c r="AJ67" i="69" s="1" a="1"/>
  <c r="AJ67" i="69" s="1"/>
  <c r="E27" i="69"/>
  <c r="AT61" i="69" a="1"/>
  <c r="AT61" i="69" s="1"/>
  <c r="AT76" i="69" a="1"/>
  <c r="AT76" i="69" s="1"/>
  <c r="AT15" i="69" a="1"/>
  <c r="AT15" i="69" s="1"/>
  <c r="BS80" i="72"/>
  <c r="AE22" i="69" a="1"/>
  <c r="AE22" i="69" s="1"/>
  <c r="AV22" i="69" s="1" a="1"/>
  <c r="AV22" i="69" s="1"/>
  <c r="AH11" i="72"/>
  <c r="BF45" i="69"/>
  <c r="AE8" i="72" a="1"/>
  <c r="AE8" i="72" s="1"/>
  <c r="AU8" i="72" s="1" a="1"/>
  <c r="AU8" i="72" s="1"/>
  <c r="BN54" i="69"/>
  <c r="AM41" i="72"/>
  <c r="AY88" i="72" a="1"/>
  <c r="AY88" i="72" s="1"/>
  <c r="AH26" i="72"/>
  <c r="BP52" i="72"/>
  <c r="BO52" i="72" s="1"/>
  <c r="BR52" i="72" s="1"/>
  <c r="BS91" i="72"/>
  <c r="E74" i="69"/>
  <c r="AE24" i="69" a="1"/>
  <c r="AE24" i="69" s="1"/>
  <c r="AF24" i="69" s="1" a="1"/>
  <c r="AF24" i="69" s="1"/>
  <c r="BC91" i="69"/>
  <c r="BS74" i="72"/>
  <c r="E30" i="69"/>
  <c r="BN72" i="69"/>
  <c r="AE51" i="69" a="1"/>
  <c r="AE51" i="69" s="1"/>
  <c r="AS51" i="69" s="1" a="1"/>
  <c r="AS51" i="69" s="1"/>
  <c r="AT73" i="69" a="1"/>
  <c r="AT73" i="69" s="1"/>
  <c r="AT13" i="69" a="1"/>
  <c r="AT13" i="69" s="1"/>
  <c r="AI90" i="72"/>
  <c r="AE75" i="69" a="1"/>
  <c r="AE75" i="69" s="1"/>
  <c r="AS75" i="69" s="1" a="1"/>
  <c r="AS75" i="69" s="1"/>
  <c r="E75" i="69"/>
  <c r="BN16" i="69"/>
  <c r="AE76" i="72" a="1"/>
  <c r="AE76" i="72" s="1"/>
  <c r="AL76" i="72" s="1" a="1"/>
  <c r="AL76" i="72" s="1"/>
  <c r="BK55" i="4"/>
  <c r="BI55" i="4"/>
  <c r="DF55" i="4"/>
  <c r="BJ55" i="4"/>
  <c r="BJ97" i="4" s="1"/>
  <c r="BI54" i="69" a="1"/>
  <c r="BI54" i="69" s="1"/>
  <c r="AV54" i="69" a="1"/>
  <c r="AV54" i="69" s="1"/>
  <c r="AH54" i="69" a="1"/>
  <c r="AH54" i="69" s="1"/>
  <c r="AL54" i="69" a="1"/>
  <c r="AL54" i="69" s="1"/>
  <c r="AU54" i="69" a="1"/>
  <c r="AU54" i="69" s="1"/>
  <c r="AF54" i="69" a="1"/>
  <c r="AF54" i="69" s="1"/>
  <c r="AP54" i="69" a="1"/>
  <c r="AP54" i="69" s="1"/>
  <c r="AS54" i="69" a="1"/>
  <c r="AS54" i="69" s="1"/>
  <c r="AX32" i="72" a="1"/>
  <c r="AX32" i="72" s="1"/>
  <c r="AL32" i="72" a="1"/>
  <c r="AL32" i="72" s="1"/>
  <c r="BA66" i="72" a="1"/>
  <c r="BA66" i="72" s="1"/>
  <c r="AO66" i="72" a="1"/>
  <c r="AO66" i="72" s="1"/>
  <c r="AQ66" i="72" a="1"/>
  <c r="AQ66" i="72" s="1"/>
  <c r="AU66" i="72" a="1"/>
  <c r="AU66" i="72" s="1"/>
  <c r="AZ66" i="72" a="1"/>
  <c r="AZ66" i="72" s="1"/>
  <c r="AF66" i="72" a="1"/>
  <c r="AF66" i="72" s="1"/>
  <c r="AL66" i="72" a="1"/>
  <c r="AL66" i="72" s="1"/>
  <c r="BF26" i="69"/>
  <c r="O26" i="72"/>
  <c r="AD26" i="72"/>
  <c r="O26" i="69"/>
  <c r="AD26" i="69"/>
  <c r="BK26" i="72"/>
  <c r="AJ71" i="69" a="1"/>
  <c r="AJ71" i="69" s="1"/>
  <c r="AU71" i="69" a="1"/>
  <c r="AU71" i="69" s="1"/>
  <c r="AV71" i="69" a="1"/>
  <c r="AV71" i="69" s="1"/>
  <c r="AP71" i="69" a="1"/>
  <c r="AP71" i="69" s="1"/>
  <c r="AF15" i="72" a="1"/>
  <c r="AF15" i="72" s="1"/>
  <c r="AQ15" i="72" a="1"/>
  <c r="AQ15" i="72" s="1"/>
  <c r="AU15" i="72" a="1"/>
  <c r="AU15" i="72" s="1"/>
  <c r="AL15" i="72" a="1"/>
  <c r="AL15" i="72" s="1"/>
  <c r="AO15" i="72" a="1"/>
  <c r="AO15" i="72" s="1"/>
  <c r="AZ15" i="72" a="1"/>
  <c r="AZ15" i="72" s="1"/>
  <c r="BA15" i="72" a="1"/>
  <c r="BA15" i="72" s="1"/>
  <c r="AK68" i="69" a="1"/>
  <c r="AK68" i="69" s="1"/>
  <c r="AJ68" i="69" a="1"/>
  <c r="AJ68" i="69" s="1"/>
  <c r="AL68" i="69" a="1"/>
  <c r="AL68" i="69" s="1"/>
  <c r="AV68" i="69" a="1"/>
  <c r="AV68" i="69" s="1"/>
  <c r="AF68" i="69" a="1"/>
  <c r="AF68" i="69" s="1"/>
  <c r="AP68" i="69" a="1"/>
  <c r="AP68" i="69" s="1"/>
  <c r="AU68" i="69" a="1"/>
  <c r="AU68" i="69" s="1"/>
  <c r="AS68" i="69" a="1"/>
  <c r="AS68" i="69" s="1"/>
  <c r="AF64" i="69" a="1"/>
  <c r="AF64" i="69" s="1"/>
  <c r="AJ64" i="69" a="1"/>
  <c r="AJ64" i="69" s="1"/>
  <c r="AH64" i="69" a="1"/>
  <c r="AH64" i="69" s="1"/>
  <c r="AV64" i="69" a="1"/>
  <c r="AV64" i="69" s="1"/>
  <c r="AP64" i="69" a="1"/>
  <c r="AP64" i="69" s="1"/>
  <c r="AL64" i="69" a="1"/>
  <c r="AL64" i="69" s="1"/>
  <c r="AU64" i="69" a="1"/>
  <c r="AU64" i="69" s="1"/>
  <c r="AS64" i="69" a="1"/>
  <c r="AS64" i="69" s="1"/>
  <c r="AS86" i="69" a="1"/>
  <c r="AS86" i="69" s="1"/>
  <c r="AU86" i="69" a="1"/>
  <c r="AU86" i="69" s="1"/>
  <c r="AF86" i="69" a="1"/>
  <c r="AF86" i="69" s="1"/>
  <c r="AV86" i="69" a="1"/>
  <c r="AV86" i="69" s="1"/>
  <c r="AP86" i="69" a="1"/>
  <c r="AP86" i="69" s="1"/>
  <c r="AH86" i="69" a="1"/>
  <c r="AH86" i="69" s="1"/>
  <c r="AL86" i="69" a="1"/>
  <c r="AL86" i="69" s="1"/>
  <c r="I154" i="15" a="1"/>
  <c r="I154" i="15" s="1"/>
  <c r="O38" i="69"/>
  <c r="BF38" i="69"/>
  <c r="BK38" i="72"/>
  <c r="O38" i="72"/>
  <c r="AI94" i="69" a="1"/>
  <c r="AI94" i="69" s="1"/>
  <c r="AX88" i="72" a="1"/>
  <c r="AX88" i="72" s="1"/>
  <c r="AQ88" i="72" a="1"/>
  <c r="AQ88" i="72" s="1"/>
  <c r="BA88" i="72" a="1"/>
  <c r="BA88" i="72" s="1"/>
  <c r="AL88" i="72" a="1"/>
  <c r="AL88" i="72" s="1"/>
  <c r="AU88" i="72" a="1"/>
  <c r="AU88" i="72" s="1"/>
  <c r="AZ88" i="72" a="1"/>
  <c r="AZ88" i="72" s="1"/>
  <c r="AF88" i="72" a="1"/>
  <c r="AF88" i="72" s="1"/>
  <c r="AO88" i="72" a="1"/>
  <c r="AO88" i="72" s="1"/>
  <c r="I76" i="15" a="1"/>
  <c r="I76" i="15" s="1"/>
  <c r="O33" i="69"/>
  <c r="BF33" i="69"/>
  <c r="AD33" i="72"/>
  <c r="AD33" i="69"/>
  <c r="BK33" i="72"/>
  <c r="O33" i="72"/>
  <c r="BA85" i="72" a="1"/>
  <c r="BA85" i="72" s="1"/>
  <c r="AZ85" i="72" a="1"/>
  <c r="AZ85" i="72" s="1"/>
  <c r="AU85" i="72" a="1"/>
  <c r="AU85" i="72" s="1"/>
  <c r="AF85" i="72" a="1"/>
  <c r="AF85" i="72" s="1"/>
  <c r="AO85" i="72" a="1"/>
  <c r="AO85" i="72" s="1"/>
  <c r="AQ85" i="72" a="1"/>
  <c r="AQ85" i="72" s="1"/>
  <c r="AL77" i="69" a="1"/>
  <c r="AL77" i="69" s="1"/>
  <c r="AF77" i="69" a="1"/>
  <c r="AF77" i="69" s="1"/>
  <c r="AH77" i="69" a="1"/>
  <c r="AH77" i="69" s="1"/>
  <c r="AU77" i="69" a="1"/>
  <c r="AU77" i="69" s="1"/>
  <c r="AV77" i="69" a="1"/>
  <c r="AV77" i="69" s="1"/>
  <c r="AP77" i="69" a="1"/>
  <c r="AP77" i="69" s="1"/>
  <c r="AJ77" i="69" a="1"/>
  <c r="AJ77" i="69" s="1"/>
  <c r="AS77" i="69" a="1"/>
  <c r="AS77" i="69" s="1"/>
  <c r="I81" i="15" a="1"/>
  <c r="I81" i="15" s="1"/>
  <c r="AO31" i="69" a="1"/>
  <c r="AO31" i="69" s="1"/>
  <c r="AP31" i="69" a="1"/>
  <c r="AP31" i="69" s="1"/>
  <c r="AJ31" i="69" a="1"/>
  <c r="AJ31" i="69" s="1"/>
  <c r="AU31" i="69" a="1"/>
  <c r="AU31" i="69" s="1"/>
  <c r="AH31" i="69" a="1"/>
  <c r="AH31" i="69" s="1"/>
  <c r="AF31" i="69" a="1"/>
  <c r="AF31" i="69" s="1"/>
  <c r="AL31" i="69" a="1"/>
  <c r="AL31" i="69" s="1"/>
  <c r="AV31" i="69" a="1"/>
  <c r="AV31" i="69" s="1"/>
  <c r="AS31" i="69" a="1"/>
  <c r="AS31" i="69" s="1"/>
  <c r="F164" i="15" a="1"/>
  <c r="F164" i="15" s="1"/>
  <c r="O32" i="72"/>
  <c r="O32" i="69"/>
  <c r="BF32" i="69"/>
  <c r="BK32" i="72"/>
  <c r="AF17" i="72" a="1"/>
  <c r="AF17" i="72" s="1"/>
  <c r="AZ17" i="72" a="1"/>
  <c r="AZ17" i="72" s="1"/>
  <c r="AL17" i="72" a="1"/>
  <c r="AL17" i="72" s="1"/>
  <c r="AO17" i="72" a="1"/>
  <c r="AO17" i="72" s="1"/>
  <c r="AU17" i="72" a="1"/>
  <c r="AU17" i="72" s="1"/>
  <c r="BA17" i="72" a="1"/>
  <c r="BA17" i="72" s="1"/>
  <c r="AQ17" i="72" a="1"/>
  <c r="AQ17" i="72" s="1"/>
  <c r="AX17" i="72" a="1"/>
  <c r="AX17" i="72" s="1"/>
  <c r="BK11" i="72"/>
  <c r="AD11" i="69"/>
  <c r="O11" i="72"/>
  <c r="AD11" i="72"/>
  <c r="O11" i="69"/>
  <c r="BF11" i="69"/>
  <c r="AQ29" i="4"/>
  <c r="AR29" i="4"/>
  <c r="BH57" i="4"/>
  <c r="AV559" i="13"/>
  <c r="BL57" i="4"/>
  <c r="DV57" i="4"/>
  <c r="E86" i="72"/>
  <c r="AV1412" i="13"/>
  <c r="AX1412" i="13"/>
  <c r="Z1516" i="13"/>
  <c r="A1511" i="13"/>
  <c r="BA76" i="69"/>
  <c r="AZ76" i="69"/>
  <c r="BV46" i="72"/>
  <c r="BF86" i="72"/>
  <c r="AJ86" i="72"/>
  <c r="BE86" i="72"/>
  <c r="AK86" i="72" s="1"/>
  <c r="AS17" i="69" a="1"/>
  <c r="AS17" i="69" s="1"/>
  <c r="AL17" i="69" a="1"/>
  <c r="AL17" i="69" s="1"/>
  <c r="AH17" i="69" a="1"/>
  <c r="AH17" i="69" s="1"/>
  <c r="AV17" i="69" a="1"/>
  <c r="AV17" i="69" s="1"/>
  <c r="AJ17" i="69" a="1"/>
  <c r="AJ17" i="69" s="1"/>
  <c r="AP17" i="69" a="1"/>
  <c r="AP17" i="69" s="1"/>
  <c r="AF17" i="69" a="1"/>
  <c r="AF17" i="69" s="1"/>
  <c r="AU17" i="69" a="1"/>
  <c r="AU17" i="69" s="1"/>
  <c r="CA37" i="4"/>
  <c r="AV37" i="4" a="1"/>
  <c r="AV37" i="4" s="1"/>
  <c r="AU37" i="4"/>
  <c r="AT37" i="4" a="1"/>
  <c r="AT37" i="4" s="1"/>
  <c r="Y37" i="4"/>
  <c r="CY37" i="4"/>
  <c r="CZ37" i="4" s="1"/>
  <c r="P39" i="9" s="1"/>
  <c r="BQ37" i="4"/>
  <c r="DV81" i="4"/>
  <c r="AV583" i="13"/>
  <c r="BL81" i="4"/>
  <c r="BH81" i="4"/>
  <c r="AE53" i="69" a="1"/>
  <c r="AE53" i="69" s="1"/>
  <c r="BO68" i="72"/>
  <c r="BR68" i="72" s="1"/>
  <c r="BE68" i="72"/>
  <c r="AK68" i="72" s="1"/>
  <c r="AJ68" i="72"/>
  <c r="BF68" i="72"/>
  <c r="AX1488" i="13"/>
  <c r="A1587" i="13"/>
  <c r="AV1488" i="13"/>
  <c r="O37" i="72"/>
  <c r="AM37" i="72"/>
  <c r="BP15" i="72"/>
  <c r="AN15" i="72"/>
  <c r="R15" i="72"/>
  <c r="AK15" i="72"/>
  <c r="BT15" i="72"/>
  <c r="BM15" i="72" a="1"/>
  <c r="BM15" i="72" s="1"/>
  <c r="AI15" i="72"/>
  <c r="AP15" i="72" a="1"/>
  <c r="AP15" i="72" s="1"/>
  <c r="BN15" i="72" a="1"/>
  <c r="BN15" i="72" s="1"/>
  <c r="BG15" i="72"/>
  <c r="AV15" i="72" s="1" a="1"/>
  <c r="AV15" i="72" s="1"/>
  <c r="BD15" i="72"/>
  <c r="AX1423" i="13"/>
  <c r="Z1527" i="13"/>
  <c r="A1522" i="13"/>
  <c r="AV1423" i="13"/>
  <c r="BV62" i="72"/>
  <c r="BQ85" i="72" a="1"/>
  <c r="BQ85" i="72" s="1"/>
  <c r="AM85" i="72"/>
  <c r="AE46" i="72" a="1"/>
  <c r="AE46" i="72" s="1"/>
  <c r="AH46" i="72"/>
  <c r="BH86" i="72"/>
  <c r="AH83" i="72"/>
  <c r="E83" i="72"/>
  <c r="L88" i="69"/>
  <c r="BA88" i="69"/>
  <c r="AZ88" i="69"/>
  <c r="AG88" i="69" s="1" a="1"/>
  <c r="AG88" i="69" s="1"/>
  <c r="I23" i="72"/>
  <c r="H71" i="15" a="1"/>
  <c r="H71" i="15" s="1"/>
  <c r="F71" i="15" a="1"/>
  <c r="F71" i="15" s="1"/>
  <c r="DA55" i="4" a="1"/>
  <c r="DA55" i="4" s="1"/>
  <c r="M3" i="1" s="1" a="1"/>
  <c r="M3" i="1" s="1"/>
  <c r="M101" i="1" s="1"/>
  <c r="BN95" i="72" a="1"/>
  <c r="BN95" i="72" s="1"/>
  <c r="AT37" i="69" a="1"/>
  <c r="AT37" i="69" s="1"/>
  <c r="BQ37" i="69"/>
  <c r="AH27" i="72"/>
  <c r="AE62" i="69" a="1"/>
  <c r="AE62" i="69" s="1"/>
  <c r="AK62" i="69" s="1" a="1"/>
  <c r="AK62" i="69" s="1"/>
  <c r="BQ68" i="72" a="1"/>
  <c r="BQ68" i="72" s="1"/>
  <c r="E86" i="69"/>
  <c r="AD7" i="72"/>
  <c r="BP80" i="72"/>
  <c r="AN80" i="72"/>
  <c r="BD80" i="72"/>
  <c r="R80" i="72"/>
  <c r="BM80" i="72" a="1"/>
  <c r="BM80" i="72" s="1"/>
  <c r="AI80" i="72"/>
  <c r="BT80" i="72"/>
  <c r="BG80" i="72"/>
  <c r="AK80" i="72"/>
  <c r="AE20" i="72" a="1"/>
  <c r="AE20" i="72" s="1"/>
  <c r="AT20" i="72" s="1" a="1"/>
  <c r="AT20" i="72" s="1"/>
  <c r="BV20" i="72"/>
  <c r="AM20" i="72"/>
  <c r="AY61" i="72" a="1"/>
  <c r="AY61" i="72" s="1"/>
  <c r="E61" i="72"/>
  <c r="BQ49" i="69"/>
  <c r="BJ20" i="69"/>
  <c r="BM20" i="69" s="1"/>
  <c r="BL20" i="69" a="1"/>
  <c r="BL20" i="69" s="1"/>
  <c r="R20" i="69"/>
  <c r="AY20" i="69"/>
  <c r="BB20" i="69"/>
  <c r="BH20" i="69" a="1"/>
  <c r="BH20" i="69" s="1"/>
  <c r="BO20" i="69"/>
  <c r="AK20" i="69" a="1"/>
  <c r="AK20" i="69" s="1"/>
  <c r="AE34" i="72" a="1"/>
  <c r="AE34" i="72" s="1"/>
  <c r="BP34" i="72"/>
  <c r="BO34" i="72" s="1"/>
  <c r="BR34" i="72" s="1"/>
  <c r="BM34" i="72" a="1"/>
  <c r="BM34" i="72" s="1"/>
  <c r="AI34" i="72"/>
  <c r="BD34" i="72"/>
  <c r="BT34" i="72"/>
  <c r="AN34" i="72"/>
  <c r="R34" i="72"/>
  <c r="BG34" i="72"/>
  <c r="E34" i="72"/>
  <c r="D45" i="72" a="1"/>
  <c r="D45" i="72" s="1"/>
  <c r="CA38" i="4"/>
  <c r="AT38" i="4" a="1"/>
  <c r="AT38" i="4" s="1"/>
  <c r="AU38" i="4"/>
  <c r="AV38" i="4" a="1"/>
  <c r="AV38" i="4" s="1"/>
  <c r="Y38" i="4"/>
  <c r="BQ38" i="4"/>
  <c r="AQ40" i="4"/>
  <c r="AR40" i="4"/>
  <c r="F94" i="72"/>
  <c r="F94" i="69"/>
  <c r="AQ56" i="4"/>
  <c r="AR56" i="4"/>
  <c r="AT18" i="69" a="1"/>
  <c r="AT18" i="69" s="1"/>
  <c r="I233" i="15" a="1"/>
  <c r="I233" i="15" s="1"/>
  <c r="BF14" i="72"/>
  <c r="BE14" i="72"/>
  <c r="AG14" i="72" s="1" a="1"/>
  <c r="AG14" i="72" s="1"/>
  <c r="AJ14" i="72"/>
  <c r="AE21" i="69" a="1"/>
  <c r="AE21" i="69" s="1"/>
  <c r="BH40" i="72"/>
  <c r="E40" i="72"/>
  <c r="AY51" i="72" a="1"/>
  <c r="AY51" i="72" s="1"/>
  <c r="E51" i="72"/>
  <c r="AZ77" i="69"/>
  <c r="AI77" i="69" s="1" a="1"/>
  <c r="AI77" i="69" s="1"/>
  <c r="BA77" i="69"/>
  <c r="AT85" i="69" a="1"/>
  <c r="AT85" i="69" s="1"/>
  <c r="H9" i="72"/>
  <c r="H9" i="69"/>
  <c r="AE83" i="69" a="1"/>
  <c r="AE83" i="69" s="1"/>
  <c r="BC5" i="69"/>
  <c r="E11" i="72"/>
  <c r="K34" i="69" a="1"/>
  <c r="K34" i="69" s="1"/>
  <c r="BH48" i="72"/>
  <c r="AV23" i="4" a="1"/>
  <c r="AV23" i="4" s="1"/>
  <c r="C23" i="69" s="1"/>
  <c r="Y23" i="4"/>
  <c r="AU23" i="4"/>
  <c r="AT23" i="4" a="1"/>
  <c r="AT23" i="4" s="1"/>
  <c r="H23" i="69" s="1"/>
  <c r="CY23" i="4"/>
  <c r="CZ23" i="4" s="1"/>
  <c r="BQ23" i="4"/>
  <c r="AY6" i="72" a="1"/>
  <c r="AY6" i="72" s="1"/>
  <c r="K45" i="69" a="1"/>
  <c r="K45" i="69" s="1"/>
  <c r="DV64" i="4"/>
  <c r="AV566" i="13"/>
  <c r="BH64" i="4"/>
  <c r="BC6" i="69"/>
  <c r="AX1446" i="13"/>
  <c r="Z1550" i="13"/>
  <c r="AV1446" i="13"/>
  <c r="A1545" i="13"/>
  <c r="BP19" i="72"/>
  <c r="BO19" i="72" s="1"/>
  <c r="BR19" i="72" s="1"/>
  <c r="AJ5" i="72"/>
  <c r="BF5" i="72"/>
  <c r="BE5" i="72"/>
  <c r="K41" i="72" a="1"/>
  <c r="K41" i="72" s="1"/>
  <c r="BP41" i="72"/>
  <c r="BD41" i="72"/>
  <c r="R41" i="72"/>
  <c r="BG41" i="72"/>
  <c r="BM41" i="72" a="1"/>
  <c r="BM41" i="72" s="1"/>
  <c r="AI41" i="72"/>
  <c r="BT41" i="72"/>
  <c r="AK41" i="72"/>
  <c r="AN41" i="72"/>
  <c r="BH88" i="72"/>
  <c r="BV88" i="72"/>
  <c r="AT88" i="72" a="1"/>
  <c r="AT88" i="72" s="1"/>
  <c r="AV396" i="13"/>
  <c r="AV496" i="13" s="1"/>
  <c r="U94" i="69" a="1"/>
  <c r="U94" i="69" s="1"/>
  <c r="U94" i="72" a="1"/>
  <c r="U94" i="72" s="1"/>
  <c r="K35" i="72" a="1"/>
  <c r="K35" i="72" s="1"/>
  <c r="CA52" i="4"/>
  <c r="Y52" i="4"/>
  <c r="AU52" i="4"/>
  <c r="AT52" i="4" a="1"/>
  <c r="AT52" i="4" s="1"/>
  <c r="AV52" i="4" a="1"/>
  <c r="AV52" i="4" s="1"/>
  <c r="CY52" i="4"/>
  <c r="CZ52" i="4" s="1"/>
  <c r="BQ52" i="4"/>
  <c r="AQ93" i="4"/>
  <c r="AR93" i="4"/>
  <c r="E143" i="15"/>
  <c r="AE43" i="69" a="1"/>
  <c r="AE43" i="69" s="1"/>
  <c r="BL84" i="69" a="1"/>
  <c r="BL84" i="69" s="1"/>
  <c r="E56" i="69"/>
  <c r="AZ42" i="69"/>
  <c r="AI42" i="69" s="1" a="1"/>
  <c r="AI42" i="69" s="1"/>
  <c r="BA42" i="69"/>
  <c r="AM26" i="72"/>
  <c r="BQ59" i="72" a="1"/>
  <c r="BQ59" i="72" s="1"/>
  <c r="BT59" i="72"/>
  <c r="AN59" i="72"/>
  <c r="R59" i="72"/>
  <c r="AK59" i="72"/>
  <c r="BG59" i="72"/>
  <c r="BD59" i="72"/>
  <c r="BM59" i="72" a="1"/>
  <c r="BM59" i="72" s="1"/>
  <c r="AD52" i="72"/>
  <c r="A1580" i="13"/>
  <c r="AX1481" i="13"/>
  <c r="Z1585" i="13"/>
  <c r="AV1481" i="13"/>
  <c r="AT31" i="69" a="1"/>
  <c r="AT31" i="69" s="1"/>
  <c r="AM84" i="72"/>
  <c r="AY91" i="72" a="1"/>
  <c r="AY91" i="72" s="1"/>
  <c r="AH91" i="72"/>
  <c r="E91" i="72"/>
  <c r="K33" i="72" a="1"/>
  <c r="K33" i="72" s="1"/>
  <c r="AJ38" i="72"/>
  <c r="BE38" i="72"/>
  <c r="AK38" i="72" s="1"/>
  <c r="BF38" i="72"/>
  <c r="AZ59" i="69"/>
  <c r="BA59" i="69"/>
  <c r="BL74" i="69" a="1"/>
  <c r="BL74" i="69" s="1"/>
  <c r="BQ74" i="69"/>
  <c r="AT79" i="69" a="1"/>
  <c r="AT79" i="69" s="1"/>
  <c r="AD8" i="69"/>
  <c r="BA8" i="69"/>
  <c r="AZ8" i="69"/>
  <c r="E8" i="69"/>
  <c r="F55" i="15" a="1"/>
  <c r="F55" i="15" s="1"/>
  <c r="BR49" i="4"/>
  <c r="Z1561" i="13"/>
  <c r="AX1457" i="13"/>
  <c r="A1556" i="13"/>
  <c r="AZ94" i="72" a="1"/>
  <c r="AZ94" i="72" s="1"/>
  <c r="AL94" i="72" a="1"/>
  <c r="AL94" i="72" s="1"/>
  <c r="AV94" i="72" a="1"/>
  <c r="AV94" i="72" s="1"/>
  <c r="AQ94" i="72" a="1"/>
  <c r="AQ94" i="72" s="1"/>
  <c r="AU94" i="72" a="1"/>
  <c r="AU94" i="72" s="1"/>
  <c r="AW94" i="72" a="1"/>
  <c r="AW94" i="72" s="1"/>
  <c r="AF94" i="72" a="1"/>
  <c r="AF94" i="72" s="1"/>
  <c r="BA94" i="72" a="1"/>
  <c r="BA94" i="72" s="1"/>
  <c r="AO94" i="72" a="1"/>
  <c r="AO94" i="72" s="1"/>
  <c r="AX94" i="72" a="1"/>
  <c r="AX94" i="72" s="1"/>
  <c r="E81" i="72"/>
  <c r="U93" i="72" a="1"/>
  <c r="U93" i="72" s="1"/>
  <c r="E93" i="72"/>
  <c r="AV1415" i="13"/>
  <c r="AX1415" i="13"/>
  <c r="Z1519" i="13"/>
  <c r="A1514" i="13"/>
  <c r="L65" i="72"/>
  <c r="BV65" i="72"/>
  <c r="BP12" i="72"/>
  <c r="BT12" i="72"/>
  <c r="BD12" i="72"/>
  <c r="BG12" i="72"/>
  <c r="BM12" i="72" a="1"/>
  <c r="BM12" i="72" s="1"/>
  <c r="R12" i="72"/>
  <c r="AI12" i="72"/>
  <c r="AN12" i="72"/>
  <c r="BD91" i="69"/>
  <c r="AI32" i="72"/>
  <c r="AN32" i="72"/>
  <c r="BN32" i="72" a="1"/>
  <c r="BN32" i="72" s="1"/>
  <c r="BM32" i="72" a="1"/>
  <c r="BM32" i="72" s="1"/>
  <c r="BG32" i="72"/>
  <c r="AV32" i="72" s="1" a="1"/>
  <c r="AV32" i="72" s="1"/>
  <c r="BT32" i="72"/>
  <c r="BD32" i="72"/>
  <c r="AK32" i="72"/>
  <c r="AP32" i="72" a="1"/>
  <c r="AP32" i="72" s="1"/>
  <c r="R32" i="72"/>
  <c r="AD29" i="72"/>
  <c r="K39" i="72" a="1"/>
  <c r="K39" i="72" s="1"/>
  <c r="C42" i="72"/>
  <c r="D42" i="72" s="1" a="1"/>
  <c r="D42" i="72" s="1"/>
  <c r="AH42" i="72"/>
  <c r="AT52" i="69" a="1"/>
  <c r="AT52" i="69" s="1"/>
  <c r="BR43" i="4"/>
  <c r="AD43" i="69" s="1"/>
  <c r="A1536" i="13"/>
  <c r="AX1437" i="13"/>
  <c r="Z1541" i="13"/>
  <c r="AV1437" i="13"/>
  <c r="BN94" i="72" a="1"/>
  <c r="BN94" i="72" s="1"/>
  <c r="O25" i="69"/>
  <c r="U78" i="69" a="1"/>
  <c r="U78" i="69" s="1"/>
  <c r="AZ78" i="69"/>
  <c r="AG78" i="69" s="1" a="1"/>
  <c r="AG78" i="69" s="1"/>
  <c r="BA78" i="69"/>
  <c r="K29" i="69" a="1"/>
  <c r="K29" i="69" s="1"/>
  <c r="AY29" i="69"/>
  <c r="BH29" i="69" a="1"/>
  <c r="BH29" i="69" s="1"/>
  <c r="BO29" i="69"/>
  <c r="R29" i="69"/>
  <c r="BB29" i="69"/>
  <c r="AD44" i="69"/>
  <c r="BR51" i="4"/>
  <c r="BH62" i="4"/>
  <c r="DV62" i="4"/>
  <c r="AV564" i="13"/>
  <c r="BL62" i="4"/>
  <c r="AX1480" i="13"/>
  <c r="AV1480" i="13"/>
  <c r="Z1584" i="13"/>
  <c r="A1579" i="13"/>
  <c r="AJ89" i="72"/>
  <c r="BF89" i="72"/>
  <c r="BE89" i="72"/>
  <c r="AE73" i="72" a="1"/>
  <c r="AE73" i="72" s="1"/>
  <c r="AT73" i="72" s="1" a="1"/>
  <c r="AT73" i="72" s="1"/>
  <c r="BF73" i="72"/>
  <c r="AJ73" i="72"/>
  <c r="BE73" i="72"/>
  <c r="AT47" i="69" a="1"/>
  <c r="AT47" i="69" s="1"/>
  <c r="AM13" i="72"/>
  <c r="BP78" i="72"/>
  <c r="BO78" i="72" s="1"/>
  <c r="BR78" i="72" s="1"/>
  <c r="L30" i="72"/>
  <c r="AE75" i="72" a="1"/>
  <c r="AE75" i="72" s="1"/>
  <c r="AT75" i="72" s="1" a="1"/>
  <c r="AT75" i="72" s="1"/>
  <c r="BV75" i="72"/>
  <c r="BK82" i="69"/>
  <c r="BJ82" i="69" s="1"/>
  <c r="BM82" i="69" s="1"/>
  <c r="AY79" i="72" a="1"/>
  <c r="AY79" i="72" s="1"/>
  <c r="L36" i="72"/>
  <c r="AI36" i="72"/>
  <c r="BM36" i="72" a="1"/>
  <c r="BM36" i="72" s="1"/>
  <c r="AN36" i="72"/>
  <c r="BG36" i="72"/>
  <c r="BT36" i="72"/>
  <c r="BD36" i="72"/>
  <c r="R36" i="72"/>
  <c r="F61" i="69"/>
  <c r="F61" i="72"/>
  <c r="BJ36" i="69"/>
  <c r="BM36" i="69" s="1"/>
  <c r="AZ36" i="69"/>
  <c r="BA36" i="69"/>
  <c r="BO77" i="72"/>
  <c r="BR77" i="72" s="1"/>
  <c r="BE77" i="72"/>
  <c r="AG77" i="72" s="1" a="1"/>
  <c r="AG77" i="72" s="1"/>
  <c r="BF77" i="72"/>
  <c r="AJ77" i="72"/>
  <c r="H228" i="15" a="1"/>
  <c r="H228" i="15" s="1"/>
  <c r="BV56" i="72"/>
  <c r="AT96" i="72" a="1"/>
  <c r="AT96" i="72" s="1"/>
  <c r="AR35" i="4"/>
  <c r="AQ35" i="4"/>
  <c r="BL69" i="69" a="1"/>
  <c r="BL69" i="69" s="1"/>
  <c r="K47" i="72" a="1"/>
  <c r="K47" i="72" s="1"/>
  <c r="BL13" i="69" a="1"/>
  <c r="BL13" i="69" s="1"/>
  <c r="BA13" i="69"/>
  <c r="AZ13" i="69"/>
  <c r="AG13" i="69" s="1" a="1"/>
  <c r="AG13" i="69" s="1"/>
  <c r="AD50" i="72"/>
  <c r="BI50" i="72"/>
  <c r="H3" i="69"/>
  <c r="H3" i="72"/>
  <c r="BQ67" i="69"/>
  <c r="K53" i="72" a="1"/>
  <c r="K53" i="72" s="1"/>
  <c r="E53" i="72"/>
  <c r="BF27" i="69"/>
  <c r="AO80" i="69" a="1"/>
  <c r="AO80" i="69" s="1"/>
  <c r="BQ80" i="69"/>
  <c r="S76" i="72"/>
  <c r="AQ73" i="4"/>
  <c r="AR73" i="4"/>
  <c r="AQ65" i="4"/>
  <c r="AR65" i="4"/>
  <c r="AQ63" i="4"/>
  <c r="AR63" i="4"/>
  <c r="BF80" i="4"/>
  <c r="BF63" i="4"/>
  <c r="BF84" i="4"/>
  <c r="BG90" i="4"/>
  <c r="AV1188" i="13" s="1"/>
  <c r="L90" i="4"/>
  <c r="BF62" i="4"/>
  <c r="Z55" i="4"/>
  <c r="AV1252" i="13" s="1"/>
  <c r="BG96" i="4"/>
  <c r="AV1194" i="13" s="1"/>
  <c r="L96" i="4"/>
  <c r="BG59" i="4"/>
  <c r="AV1157" i="13" s="1"/>
  <c r="L59" i="4"/>
  <c r="BL7" i="69" a="1"/>
  <c r="BL7" i="69" s="1"/>
  <c r="AY7" i="69"/>
  <c r="BB7" i="69"/>
  <c r="AQ7" i="69" s="1" a="1"/>
  <c r="AQ7" i="69" s="1"/>
  <c r="R7" i="69"/>
  <c r="BH7" i="69" a="1"/>
  <c r="BH7" i="69" s="1"/>
  <c r="BO7" i="69"/>
  <c r="BI7" i="69" a="1"/>
  <c r="BI7" i="69" s="1"/>
  <c r="AK7" i="69" a="1"/>
  <c r="AK7" i="69" s="1"/>
  <c r="AY37" i="72" a="1"/>
  <c r="AY37" i="72" s="1"/>
  <c r="AM62" i="72"/>
  <c r="BP85" i="72"/>
  <c r="BO85" i="72" s="1"/>
  <c r="BR85" i="72" s="1"/>
  <c r="AT18" i="4" a="1"/>
  <c r="AT18" i="4" s="1"/>
  <c r="AV18" i="4" a="1"/>
  <c r="AV18" i="4" s="1"/>
  <c r="Y18" i="4"/>
  <c r="AU18" i="4"/>
  <c r="BQ18" i="4"/>
  <c r="CA18" i="4"/>
  <c r="AH62" i="72"/>
  <c r="BP83" i="72"/>
  <c r="BD83" i="72"/>
  <c r="AI83" i="72"/>
  <c r="R83" i="72"/>
  <c r="BT83" i="72"/>
  <c r="BG83" i="72"/>
  <c r="AN83" i="72"/>
  <c r="BM83" i="72" a="1"/>
  <c r="BM83" i="72" s="1"/>
  <c r="A1578" i="13"/>
  <c r="AX1479" i="13"/>
  <c r="Z1583" i="13"/>
  <c r="BL17" i="69" a="1"/>
  <c r="BL17" i="69" s="1"/>
  <c r="BO17" i="69"/>
  <c r="BH17" i="69" a="1"/>
  <c r="BH17" i="69" s="1"/>
  <c r="R17" i="69"/>
  <c r="BB17" i="69"/>
  <c r="AQ17" i="69" s="1" a="1"/>
  <c r="AQ17" i="69" s="1"/>
  <c r="AY17" i="69"/>
  <c r="BI17" i="69" a="1"/>
  <c r="BI17" i="69" s="1"/>
  <c r="AK17" i="69" a="1"/>
  <c r="AK17" i="69" s="1"/>
  <c r="BL88" i="69" a="1"/>
  <c r="BL88" i="69" s="1"/>
  <c r="AX1414" i="13"/>
  <c r="A1513" i="13"/>
  <c r="AV1414" i="13"/>
  <c r="Z1518" i="13"/>
  <c r="BT80" i="4"/>
  <c r="BD80" i="4"/>
  <c r="BR80" i="4" s="1"/>
  <c r="M500" i="15" a="1"/>
  <c r="M500" i="15" s="1"/>
  <c r="AP95" i="72" a="1"/>
  <c r="AP95" i="72" s="1"/>
  <c r="AM16" i="72"/>
  <c r="BC62" i="69"/>
  <c r="BS68" i="72"/>
  <c r="E68" i="72"/>
  <c r="D7" i="72" a="1"/>
  <c r="D7" i="72" s="1"/>
  <c r="BP7" i="72"/>
  <c r="AI7" i="72"/>
  <c r="AP7" i="72" a="1"/>
  <c r="AP7" i="72" s="1"/>
  <c r="BN7" i="72" a="1"/>
  <c r="BN7" i="72" s="1"/>
  <c r="BD7" i="72"/>
  <c r="BT7" i="72"/>
  <c r="AN7" i="72"/>
  <c r="R7" i="72"/>
  <c r="BG7" i="72"/>
  <c r="AV7" i="72" s="1" a="1"/>
  <c r="AV7" i="72" s="1"/>
  <c r="BM7" i="72" a="1"/>
  <c r="BM7" i="72" s="1"/>
  <c r="E20" i="72"/>
  <c r="AD34" i="72"/>
  <c r="BA22" i="69"/>
  <c r="AZ22" i="69"/>
  <c r="AE45" i="72" a="1"/>
  <c r="AE45" i="72" s="1"/>
  <c r="AT45" i="72" s="1" a="1"/>
  <c r="AT45" i="72" s="1"/>
  <c r="BE45" i="72"/>
  <c r="BF45" i="72"/>
  <c r="AJ45" i="72"/>
  <c r="AX1462" i="13"/>
  <c r="AV1462" i="13"/>
  <c r="Z1566" i="13"/>
  <c r="A1561" i="13"/>
  <c r="A1540" i="13"/>
  <c r="AX1441" i="13"/>
  <c r="Z1545" i="13"/>
  <c r="AV1441" i="13"/>
  <c r="E40" i="69"/>
  <c r="BD14" i="72"/>
  <c r="BG14" i="72"/>
  <c r="AV14" i="72" s="1" a="1"/>
  <c r="AV14" i="72" s="1"/>
  <c r="AN14" i="72"/>
  <c r="AI14" i="72"/>
  <c r="BM14" i="72" a="1"/>
  <c r="BM14" i="72" s="1"/>
  <c r="BT14" i="72"/>
  <c r="AP14" i="72" a="1"/>
  <c r="AP14" i="72" s="1"/>
  <c r="R14" i="72"/>
  <c r="AK14" i="72"/>
  <c r="BN14" i="72" a="1"/>
  <c r="BN14" i="72" s="1"/>
  <c r="BC21" i="69"/>
  <c r="E21" i="69"/>
  <c r="D21" i="69" a="1"/>
  <c r="D21" i="69" s="1"/>
  <c r="AY18" i="72" a="1"/>
  <c r="AY18" i="72" s="1"/>
  <c r="BV18" i="72"/>
  <c r="AM40" i="72"/>
  <c r="BD63" i="4"/>
  <c r="BR63" i="4" s="1"/>
  <c r="AJ51" i="72"/>
  <c r="BE51" i="72"/>
  <c r="AK51" i="72" s="1"/>
  <c r="BF51" i="72"/>
  <c r="AT77" i="69" a="1"/>
  <c r="AT77" i="69" s="1"/>
  <c r="AE63" i="72" a="1"/>
  <c r="AE63" i="72" s="1"/>
  <c r="Z1558" i="13"/>
  <c r="AX1454" i="13"/>
  <c r="A1553" i="13"/>
  <c r="BK19" i="69"/>
  <c r="E54" i="72"/>
  <c r="C9" i="69"/>
  <c r="D9" i="69" s="1" a="1"/>
  <c r="D9" i="69" s="1"/>
  <c r="C9" i="72"/>
  <c r="D9" i="72" s="1" a="1"/>
  <c r="D9" i="72" s="1"/>
  <c r="BP49" i="72"/>
  <c r="BO49" i="72" s="1"/>
  <c r="BR49" i="72" s="1"/>
  <c r="BD11" i="72"/>
  <c r="AI11" i="72"/>
  <c r="BT11" i="72"/>
  <c r="BG11" i="72"/>
  <c r="R11" i="72"/>
  <c r="AK11" i="72"/>
  <c r="BM11" i="72" a="1"/>
  <c r="BM11" i="72" s="1"/>
  <c r="AN11" i="72"/>
  <c r="AD34" i="69"/>
  <c r="AY34" i="69"/>
  <c r="R34" i="69"/>
  <c r="AJ34" i="69" s="1" a="1"/>
  <c r="AJ34" i="69" s="1"/>
  <c r="BI34" i="69" a="1"/>
  <c r="BI34" i="69" s="1"/>
  <c r="BB34" i="69"/>
  <c r="AR34" i="69" s="1" a="1"/>
  <c r="AR34" i="69" s="1"/>
  <c r="BO34" i="69"/>
  <c r="AK34" i="69" a="1"/>
  <c r="AK34" i="69" s="1"/>
  <c r="BH34" i="69" a="1"/>
  <c r="BH34" i="69" s="1"/>
  <c r="DV23" i="4"/>
  <c r="BH23" i="4"/>
  <c r="AV525" i="13"/>
  <c r="BL23" i="4"/>
  <c r="BD23" i="69" s="1"/>
  <c r="BQ45" i="69"/>
  <c r="AX1468" i="13"/>
  <c r="Z1572" i="13"/>
  <c r="A1567" i="13"/>
  <c r="Z1507" i="13"/>
  <c r="A1502" i="13"/>
  <c r="AV1403" i="13"/>
  <c r="AX1403" i="13"/>
  <c r="BL35" i="69" a="1"/>
  <c r="BL35" i="69" s="1"/>
  <c r="BB35" i="69"/>
  <c r="AQ35" i="69" s="1" a="1"/>
  <c r="AQ35" i="69" s="1"/>
  <c r="AK35" i="69" a="1"/>
  <c r="AK35" i="69" s="1"/>
  <c r="AY35" i="69"/>
  <c r="BO35" i="69"/>
  <c r="R35" i="69"/>
  <c r="BI35" i="69" a="1"/>
  <c r="BI35" i="69" s="1"/>
  <c r="BH35" i="69" a="1"/>
  <c r="BH35" i="69" s="1"/>
  <c r="AE21" i="72" a="1"/>
  <c r="AE21" i="72" s="1"/>
  <c r="AT21" i="72" s="1" a="1"/>
  <c r="AT21" i="72" s="1"/>
  <c r="BL63" i="69" a="1"/>
  <c r="BL63" i="69" s="1"/>
  <c r="BP22" i="72"/>
  <c r="BT22" i="72"/>
  <c r="R22" i="72"/>
  <c r="BM22" i="72" a="1"/>
  <c r="BM22" i="72" s="1"/>
  <c r="BG22" i="72"/>
  <c r="AI22" i="72"/>
  <c r="AN22" i="72"/>
  <c r="BD22" i="72"/>
  <c r="BK11" i="69"/>
  <c r="R11" i="69"/>
  <c r="AY11" i="69"/>
  <c r="BO11" i="69"/>
  <c r="BH11" i="69" a="1"/>
  <c r="BH11" i="69" s="1"/>
  <c r="BB11" i="69"/>
  <c r="BI11" i="69" a="1"/>
  <c r="BI11" i="69" s="1"/>
  <c r="L88" i="72"/>
  <c r="CA13" i="4"/>
  <c r="Y13" i="4"/>
  <c r="AU13" i="4"/>
  <c r="AV13" i="4" a="1"/>
  <c r="AV13" i="4" s="1"/>
  <c r="AT13" i="4" a="1"/>
  <c r="AT13" i="4" s="1"/>
  <c r="BQ13" i="4"/>
  <c r="CY13" i="4"/>
  <c r="CZ13" i="4" s="1"/>
  <c r="H81" i="15" a="1"/>
  <c r="H81" i="15" s="1"/>
  <c r="BQ35" i="72" a="1"/>
  <c r="BQ35" i="72" s="1"/>
  <c r="BG35" i="72"/>
  <c r="AI35" i="72"/>
  <c r="AN35" i="72"/>
  <c r="BT35" i="72"/>
  <c r="BD35" i="72"/>
  <c r="BM35" i="72" a="1"/>
  <c r="BM35" i="72" s="1"/>
  <c r="R35" i="72"/>
  <c r="K31" i="72" a="1"/>
  <c r="K31" i="72" s="1"/>
  <c r="AM31" i="72"/>
  <c r="AE56" i="69" a="1"/>
  <c r="AE56" i="69" s="1"/>
  <c r="BI56" i="69" s="1" a="1"/>
  <c r="BI56" i="69" s="1"/>
  <c r="BL56" i="69" a="1"/>
  <c r="BL56" i="69" s="1"/>
  <c r="AY56" i="69"/>
  <c r="BB56" i="69"/>
  <c r="BO56" i="69"/>
  <c r="R56" i="69"/>
  <c r="BH56" i="69" a="1"/>
  <c r="BH56" i="69" s="1"/>
  <c r="AX1417" i="13"/>
  <c r="Z1521" i="13"/>
  <c r="A1516" i="13"/>
  <c r="AV1417" i="13"/>
  <c r="E26" i="72"/>
  <c r="BL38" i="69" a="1"/>
  <c r="BL38" i="69" s="1"/>
  <c r="R38" i="69"/>
  <c r="AY38" i="69"/>
  <c r="BH38" i="69" a="1"/>
  <c r="BH38" i="69" s="1"/>
  <c r="BO38" i="69"/>
  <c r="BB38" i="69"/>
  <c r="E52" i="72"/>
  <c r="CA19" i="4"/>
  <c r="AT19" i="4" a="1"/>
  <c r="AT19" i="4" s="1"/>
  <c r="AU19" i="4"/>
  <c r="Y19" i="4"/>
  <c r="AV19" i="4" a="1"/>
  <c r="AV19" i="4" s="1"/>
  <c r="BQ19" i="4"/>
  <c r="I172" i="15" a="1"/>
  <c r="I172" i="15" s="1"/>
  <c r="BF91" i="72"/>
  <c r="BE91" i="72"/>
  <c r="AK91" i="72" s="1"/>
  <c r="AJ91" i="72"/>
  <c r="BQ32" i="69"/>
  <c r="AO32" i="69" a="1"/>
  <c r="AO32" i="69" s="1"/>
  <c r="AZ66" i="69"/>
  <c r="BA66" i="69"/>
  <c r="BF33" i="72"/>
  <c r="AJ33" i="72"/>
  <c r="BE33" i="72"/>
  <c r="AG33" i="72" s="1" a="1"/>
  <c r="AG33" i="72" s="1"/>
  <c r="AD38" i="72"/>
  <c r="E59" i="69"/>
  <c r="O24" i="72"/>
  <c r="BD39" i="69"/>
  <c r="D79" i="69" a="1"/>
  <c r="D79" i="69" s="1"/>
  <c r="AT68" i="69" a="1"/>
  <c r="AT68" i="69" s="1"/>
  <c r="R68" i="69"/>
  <c r="AY68" i="69"/>
  <c r="BO68" i="69"/>
  <c r="BB68" i="69"/>
  <c r="AR68" i="69" s="1" a="1"/>
  <c r="AR68" i="69" s="1"/>
  <c r="BH68" i="69" a="1"/>
  <c r="BH68" i="69" s="1"/>
  <c r="BI68" i="69" a="1"/>
  <c r="BI68" i="69" s="1"/>
  <c r="BD5" i="69"/>
  <c r="BM5" i="4"/>
  <c r="K490" i="15" a="1"/>
  <c r="K490" i="15" s="1"/>
  <c r="AY65" i="72" a="1"/>
  <c r="AY65" i="72" s="1"/>
  <c r="AE12" i="72" a="1"/>
  <c r="AE12" i="72" s="1"/>
  <c r="BL91" i="69" a="1"/>
  <c r="BL91" i="69" s="1"/>
  <c r="BO91" i="69"/>
  <c r="BH91" i="69" a="1"/>
  <c r="BH91" i="69" s="1"/>
  <c r="R91" i="69"/>
  <c r="AY91" i="69"/>
  <c r="BI91" i="69" a="1"/>
  <c r="BI91" i="69" s="1"/>
  <c r="AK91" i="69" a="1"/>
  <c r="AK91" i="69" s="1"/>
  <c r="BB91" i="69"/>
  <c r="AQ91" i="69" s="1" a="1"/>
  <c r="AQ91" i="69" s="1"/>
  <c r="BO32" i="72"/>
  <c r="BR32" i="72" s="1"/>
  <c r="BI32" i="72"/>
  <c r="AM66" i="72"/>
  <c r="BE66" i="72"/>
  <c r="AK66" i="72" s="1"/>
  <c r="BF66" i="72"/>
  <c r="AJ66" i="72"/>
  <c r="AT33" i="69" a="1"/>
  <c r="AT33" i="69" s="1"/>
  <c r="BK33" i="69"/>
  <c r="R33" i="69"/>
  <c r="BH33" i="69" a="1"/>
  <c r="BH33" i="69" s="1"/>
  <c r="BB33" i="69"/>
  <c r="AQ33" i="69" s="1" a="1"/>
  <c r="AQ33" i="69" s="1"/>
  <c r="BO33" i="69"/>
  <c r="AY33" i="69"/>
  <c r="AK33" i="69" a="1"/>
  <c r="AK33" i="69" s="1"/>
  <c r="BQ29" i="72" a="1"/>
  <c r="BQ29" i="72" s="1"/>
  <c r="AO64" i="69" a="1"/>
  <c r="AO64" i="69" s="1"/>
  <c r="BQ64" i="69"/>
  <c r="BK64" i="69"/>
  <c r="BO64" i="69"/>
  <c r="BB64" i="69"/>
  <c r="AR64" i="69" s="1" a="1"/>
  <c r="AR64" i="69" s="1"/>
  <c r="R64" i="69"/>
  <c r="AY64" i="69"/>
  <c r="BH64" i="69" a="1"/>
  <c r="BH64" i="69" s="1"/>
  <c r="AK64" i="69" a="1"/>
  <c r="AK64" i="69" s="1"/>
  <c r="BI64" i="69" a="1"/>
  <c r="BI64" i="69" s="1"/>
  <c r="AH71" i="72"/>
  <c r="BQ71" i="69"/>
  <c r="AO71" i="69" a="1"/>
  <c r="AO71" i="69" s="1"/>
  <c r="BP42" i="72"/>
  <c r="BO42" i="72" s="1"/>
  <c r="BR42" i="72" s="1"/>
  <c r="K52" i="69" a="1"/>
  <c r="K52" i="69" s="1"/>
  <c r="E52" i="69"/>
  <c r="AX1252" i="13"/>
  <c r="A1351" i="13"/>
  <c r="BK81" i="69"/>
  <c r="BJ81" i="69" s="1"/>
  <c r="BM81" i="69" s="1"/>
  <c r="F76" i="72"/>
  <c r="F76" i="69"/>
  <c r="BA12" i="69"/>
  <c r="AZ12" i="69"/>
  <c r="AG12" i="69" s="1" a="1"/>
  <c r="AG12" i="69" s="1"/>
  <c r="AD25" i="69"/>
  <c r="BL25" i="69" a="1"/>
  <c r="BL25" i="69" s="1"/>
  <c r="BB25" i="69"/>
  <c r="AR25" i="69" s="1" a="1"/>
  <c r="AR25" i="69" s="1"/>
  <c r="R25" i="69"/>
  <c r="BI25" i="69" a="1"/>
  <c r="BI25" i="69" s="1"/>
  <c r="AK25" i="69" a="1"/>
  <c r="AK25" i="69" s="1"/>
  <c r="BO25" i="69"/>
  <c r="BH25" i="69" a="1"/>
  <c r="BH25" i="69" s="1"/>
  <c r="AY25" i="69"/>
  <c r="BR69" i="4"/>
  <c r="BD44" i="69"/>
  <c r="CA51" i="4"/>
  <c r="AU51" i="4"/>
  <c r="AV51" i="4" a="1"/>
  <c r="AV51" i="4" s="1"/>
  <c r="AT51" i="4" a="1"/>
  <c r="AT51" i="4" s="1"/>
  <c r="Y51" i="4"/>
  <c r="CY51" i="4"/>
  <c r="CZ51" i="4" s="1"/>
  <c r="P53" i="9" s="1"/>
  <c r="BQ51" i="4"/>
  <c r="AR55" i="4"/>
  <c r="AQ55" i="4"/>
  <c r="L540" i="15" a="1"/>
  <c r="L540" i="15" s="1"/>
  <c r="AV1465" i="13"/>
  <c r="Z1569" i="13"/>
  <c r="AX1465" i="13"/>
  <c r="A1564" i="13"/>
  <c r="L481" i="15" a="1"/>
  <c r="L481" i="15" s="1"/>
  <c r="AY89" i="72" a="1"/>
  <c r="AY89" i="72" s="1"/>
  <c r="AH89" i="72"/>
  <c r="AF89" i="72" s="1" a="1"/>
  <c r="AF89" i="72" s="1"/>
  <c r="E73" i="72"/>
  <c r="BJ90" i="69"/>
  <c r="BM90" i="69" s="1"/>
  <c r="BQ90" i="69"/>
  <c r="AY78" i="72" a="1"/>
  <c r="AY78" i="72" s="1"/>
  <c r="S78" i="72"/>
  <c r="BP30" i="72"/>
  <c r="BO30" i="72" s="1"/>
  <c r="BR30" i="72" s="1"/>
  <c r="BL72" i="69" a="1"/>
  <c r="BL72" i="69" s="1"/>
  <c r="R72" i="69"/>
  <c r="AK72" i="69" a="1"/>
  <c r="AK72" i="69" s="1"/>
  <c r="BI72" i="69" a="1"/>
  <c r="BI72" i="69" s="1"/>
  <c r="BH72" i="69" a="1"/>
  <c r="BH72" i="69" s="1"/>
  <c r="BB72" i="69"/>
  <c r="AQ72" i="69" s="1" a="1"/>
  <c r="AQ72" i="69" s="1"/>
  <c r="BO72" i="69"/>
  <c r="AY72" i="69"/>
  <c r="E75" i="72"/>
  <c r="AM67" i="72"/>
  <c r="G67" i="72"/>
  <c r="D79" i="72" a="1"/>
  <c r="D79" i="72" s="1"/>
  <c r="AE79" i="72" a="1"/>
  <c r="AE79" i="72" s="1"/>
  <c r="AT79" i="72" s="1" a="1"/>
  <c r="AT79" i="72" s="1"/>
  <c r="AM36" i="72"/>
  <c r="BF36" i="72"/>
  <c r="BE36" i="72"/>
  <c r="AG36" i="72" s="1" a="1"/>
  <c r="AG36" i="72" s="1"/>
  <c r="AJ36" i="72"/>
  <c r="AM44" i="72"/>
  <c r="AY28" i="72" a="1"/>
  <c r="AY28" i="72" s="1"/>
  <c r="BD51" i="69"/>
  <c r="BV77" i="72"/>
  <c r="AT77" i="72" a="1"/>
  <c r="AT77" i="72" s="1"/>
  <c r="I228" i="15" a="1"/>
  <c r="I228" i="15" s="1"/>
  <c r="AM56" i="72"/>
  <c r="AQ28" i="4"/>
  <c r="AR28" i="4"/>
  <c r="H223" i="15" a="1"/>
  <c r="H223" i="15" s="1"/>
  <c r="AE69" i="69" a="1"/>
  <c r="AE69" i="69" s="1"/>
  <c r="S89" i="69"/>
  <c r="BK89" i="69"/>
  <c r="BJ89" i="69" s="1"/>
  <c r="BM89" i="69" s="1"/>
  <c r="AY89" i="69"/>
  <c r="BH89" i="69" a="1"/>
  <c r="BH89" i="69" s="1"/>
  <c r="R89" i="69"/>
  <c r="AJ89" i="69" s="1" a="1"/>
  <c r="AJ89" i="69" s="1"/>
  <c r="BB89" i="69"/>
  <c r="AQ89" i="69" s="1" a="1"/>
  <c r="AQ89" i="69" s="1"/>
  <c r="BO89" i="69"/>
  <c r="AK89" i="69" a="1"/>
  <c r="AK89" i="69" s="1"/>
  <c r="BQ73" i="69"/>
  <c r="AM47" i="72"/>
  <c r="BP47" i="72"/>
  <c r="BD47" i="72"/>
  <c r="R47" i="72"/>
  <c r="AN47" i="72"/>
  <c r="BT47" i="72"/>
  <c r="AI47" i="72"/>
  <c r="BM47" i="72" a="1"/>
  <c r="BM47" i="72" s="1"/>
  <c r="BG47" i="72"/>
  <c r="L13" i="69"/>
  <c r="AY90" i="72" a="1"/>
  <c r="AY90" i="72" s="1"/>
  <c r="AH90" i="72"/>
  <c r="O50" i="72"/>
  <c r="C3" i="72"/>
  <c r="D3" i="72" s="1" a="1"/>
  <c r="D3" i="72" s="1"/>
  <c r="C3" i="69"/>
  <c r="D3" i="69" s="1" a="1"/>
  <c r="D3" i="69" s="1"/>
  <c r="BF82" i="72"/>
  <c r="AJ82" i="72"/>
  <c r="BE82" i="72"/>
  <c r="AK82" i="72" s="1"/>
  <c r="AY53" i="72" a="1"/>
  <c r="AY53" i="72" s="1"/>
  <c r="L53" i="72"/>
  <c r="BT53" i="72"/>
  <c r="AI53" i="72"/>
  <c r="BG53" i="72"/>
  <c r="AN53" i="72"/>
  <c r="R53" i="72"/>
  <c r="BD53" i="72"/>
  <c r="BM53" i="72" a="1"/>
  <c r="BM53" i="72" s="1"/>
  <c r="BN53" i="72" a="1"/>
  <c r="BN53" i="72" s="1"/>
  <c r="AD27" i="69"/>
  <c r="BQ27" i="69"/>
  <c r="AO27" i="69" a="1"/>
  <c r="AO27" i="69" s="1"/>
  <c r="BB27" i="69"/>
  <c r="R27" i="69"/>
  <c r="AY27" i="69"/>
  <c r="BO27" i="69"/>
  <c r="BH27" i="69" a="1"/>
  <c r="BH27" i="69" s="1"/>
  <c r="AK27" i="69" a="1"/>
  <c r="AK27" i="69" s="1"/>
  <c r="S70" i="69"/>
  <c r="O50" i="69"/>
  <c r="A1581" i="13"/>
  <c r="Z1586" i="13"/>
  <c r="AX1482" i="13"/>
  <c r="BK80" i="69"/>
  <c r="BJ80" i="69" s="1"/>
  <c r="BM80" i="69" s="1"/>
  <c r="AY80" i="69"/>
  <c r="R80" i="69"/>
  <c r="BB80" i="69"/>
  <c r="AQ80" i="69" s="1" a="1"/>
  <c r="AQ80" i="69" s="1"/>
  <c r="BH80" i="69" a="1"/>
  <c r="BH80" i="69" s="1"/>
  <c r="BO80" i="69"/>
  <c r="AK80" i="69" a="1"/>
  <c r="AK80" i="69" s="1"/>
  <c r="BI80" i="69" a="1"/>
  <c r="BI80" i="69" s="1"/>
  <c r="E80" i="69"/>
  <c r="AI95" i="69" a="1"/>
  <c r="AI95" i="69" s="1"/>
  <c r="AQ85" i="4"/>
  <c r="AR85" i="4"/>
  <c r="BD64" i="4"/>
  <c r="X64" i="4" s="1"/>
  <c r="BG65" i="4"/>
  <c r="AV1163" i="13" s="1"/>
  <c r="L65" i="4"/>
  <c r="BF92" i="4"/>
  <c r="X63" i="4"/>
  <c r="BG63" i="4"/>
  <c r="AV1161" i="13" s="1"/>
  <c r="L63" i="4"/>
  <c r="BG57" i="4"/>
  <c r="AV1155" i="13" s="1"/>
  <c r="L57" i="4"/>
  <c r="BF90" i="4"/>
  <c r="BG62" i="4"/>
  <c r="AV1160" i="13" s="1"/>
  <c r="L62" i="4"/>
  <c r="BF93" i="4"/>
  <c r="BG71" i="4"/>
  <c r="AV1169" i="13" s="1"/>
  <c r="L71" i="4"/>
  <c r="BF59" i="4"/>
  <c r="BQ7" i="69"/>
  <c r="AO7" i="69" a="1"/>
  <c r="AO7" i="69" s="1"/>
  <c r="AR41" i="4"/>
  <c r="AQ41" i="4"/>
  <c r="BP62" i="72"/>
  <c r="BO62" i="72" s="1"/>
  <c r="BR62" i="72" s="1"/>
  <c r="AN62" i="72"/>
  <c r="BM62" i="72" a="1"/>
  <c r="BM62" i="72" s="1"/>
  <c r="R62" i="72"/>
  <c r="BT62" i="72"/>
  <c r="AI62" i="72"/>
  <c r="BG62" i="72"/>
  <c r="AV62" i="72" s="1" a="1"/>
  <c r="AV62" i="72" s="1"/>
  <c r="BD62" i="72"/>
  <c r="AP62" i="72" a="1"/>
  <c r="AP62" i="72" s="1"/>
  <c r="BN62" i="72" a="1"/>
  <c r="BN62" i="72" s="1"/>
  <c r="AR39" i="4"/>
  <c r="AQ39" i="4"/>
  <c r="BV37" i="72"/>
  <c r="E7" i="69"/>
  <c r="BH15" i="72"/>
  <c r="AE76" i="69" a="1"/>
  <c r="AE76" i="69" s="1"/>
  <c r="O28" i="69"/>
  <c r="E28" i="69"/>
  <c r="AE86" i="72" a="1"/>
  <c r="AE86" i="72" s="1"/>
  <c r="E169" i="15"/>
  <c r="H164" i="15" s="1" a="1"/>
  <c r="H164" i="15" s="1"/>
  <c r="AE87" i="72" a="1"/>
  <c r="AE87" i="72" s="1"/>
  <c r="AT87" i="72" s="1" a="1"/>
  <c r="AT87" i="72" s="1"/>
  <c r="E87" i="72"/>
  <c r="AM87" i="72"/>
  <c r="L7" i="69"/>
  <c r="BF28" i="69"/>
  <c r="L62" i="72"/>
  <c r="BS86" i="72"/>
  <c r="D17" i="69" a="1"/>
  <c r="D17" i="69" s="1"/>
  <c r="BC88" i="69"/>
  <c r="AQ15" i="4"/>
  <c r="AR15" i="4"/>
  <c r="CW55" i="4"/>
  <c r="CX55" i="4" s="1"/>
  <c r="CX97" i="4" s="1"/>
  <c r="AW95" i="72" a="1"/>
  <c r="AW95" i="72" s="1"/>
  <c r="O37" i="69"/>
  <c r="BL37" i="69" a="1"/>
  <c r="BL37" i="69" s="1"/>
  <c r="BB37" i="69"/>
  <c r="AR37" i="69" s="1" a="1"/>
  <c r="AR37" i="69" s="1"/>
  <c r="AK37" i="69" a="1"/>
  <c r="AK37" i="69" s="1"/>
  <c r="R37" i="69"/>
  <c r="BO37" i="69"/>
  <c r="AY37" i="69"/>
  <c r="BI37" i="69" a="1"/>
  <c r="BI37" i="69" s="1"/>
  <c r="BH37" i="69" a="1"/>
  <c r="BH37" i="69" s="1"/>
  <c r="AZ87" i="69"/>
  <c r="AG87" i="69" s="1" a="1"/>
  <c r="AG87" i="69" s="1"/>
  <c r="BA87" i="69"/>
  <c r="BE16" i="72"/>
  <c r="AK16" i="72" s="1"/>
  <c r="AJ16" i="72"/>
  <c r="BF16" i="72"/>
  <c r="AY62" i="69"/>
  <c r="BO62" i="69"/>
  <c r="R62" i="69"/>
  <c r="BH62" i="69" a="1"/>
  <c r="BH62" i="69" s="1"/>
  <c r="BB62" i="69"/>
  <c r="AZ86" i="69"/>
  <c r="AG86" i="69" s="1" a="1"/>
  <c r="AG86" i="69" s="1"/>
  <c r="BA86" i="69"/>
  <c r="L7" i="72"/>
  <c r="BH80" i="72"/>
  <c r="BV80" i="72"/>
  <c r="AM80" i="72"/>
  <c r="AE61" i="72" a="1"/>
  <c r="AE61" i="72" s="1"/>
  <c r="AF61" i="72" s="1" a="1"/>
  <c r="AF61" i="72" s="1"/>
  <c r="R61" i="72"/>
  <c r="BT61" i="72"/>
  <c r="AI61" i="72"/>
  <c r="AN61" i="72"/>
  <c r="BM61" i="72" a="1"/>
  <c r="BM61" i="72" s="1"/>
  <c r="BD61" i="72"/>
  <c r="BG61" i="72"/>
  <c r="AM61" i="72"/>
  <c r="AE49" i="69" a="1"/>
  <c r="AE49" i="69" s="1"/>
  <c r="BA20" i="69"/>
  <c r="AZ20" i="69"/>
  <c r="AG20" i="69" s="1" a="1"/>
  <c r="AG20" i="69" s="1"/>
  <c r="BK34" i="72"/>
  <c r="AJ34" i="72"/>
  <c r="BE34" i="72"/>
  <c r="AK34" i="72" s="1"/>
  <c r="BF34" i="72"/>
  <c r="AM34" i="72"/>
  <c r="BH43" i="72"/>
  <c r="C43" i="72"/>
  <c r="D43" i="72" s="1" a="1"/>
  <c r="D43" i="72" s="1"/>
  <c r="AM43" i="72"/>
  <c r="BN22" i="69"/>
  <c r="E18" i="69"/>
  <c r="AQ67" i="4"/>
  <c r="AR67" i="4"/>
  <c r="AM14" i="72"/>
  <c r="BQ18" i="72" a="1"/>
  <c r="BQ18" i="72" s="1"/>
  <c r="BD18" i="72"/>
  <c r="AI18" i="72"/>
  <c r="AN18" i="72"/>
  <c r="BT18" i="72"/>
  <c r="BM18" i="72" a="1"/>
  <c r="BM18" i="72" s="1"/>
  <c r="R18" i="72"/>
  <c r="BG18" i="72"/>
  <c r="I63" i="72"/>
  <c r="I63" i="69"/>
  <c r="BK77" i="69"/>
  <c r="BJ77" i="69" s="1"/>
  <c r="BM77" i="69" s="1"/>
  <c r="AY77" i="69"/>
  <c r="BI77" i="69" a="1"/>
  <c r="BI77" i="69" s="1"/>
  <c r="AK77" i="69" a="1"/>
  <c r="AK77" i="69" s="1"/>
  <c r="BO77" i="69"/>
  <c r="BB77" i="69"/>
  <c r="AQ77" i="69" s="1" a="1"/>
  <c r="AQ77" i="69" s="1"/>
  <c r="R77" i="69"/>
  <c r="BH77" i="69" a="1"/>
  <c r="BH77" i="69" s="1"/>
  <c r="BC85" i="69"/>
  <c r="E63" i="72"/>
  <c r="AM63" i="72"/>
  <c r="BC46" i="69"/>
  <c r="BO46" i="69"/>
  <c r="R46" i="69"/>
  <c r="AY46" i="69"/>
  <c r="BH46" i="69" a="1"/>
  <c r="BH46" i="69" s="1"/>
  <c r="BB46" i="69"/>
  <c r="AQ46" i="69" s="1" a="1"/>
  <c r="AQ46" i="69" s="1"/>
  <c r="AK46" i="69" a="1"/>
  <c r="AK46" i="69" s="1"/>
  <c r="BQ54" i="72" a="1"/>
  <c r="BQ54" i="72" s="1"/>
  <c r="AN54" i="72"/>
  <c r="BG54" i="72"/>
  <c r="AW54" i="72" s="1" a="1"/>
  <c r="AW54" i="72" s="1"/>
  <c r="BM54" i="72" a="1"/>
  <c r="BM54" i="72" s="1"/>
  <c r="R54" i="72"/>
  <c r="AO54" i="72" s="1" a="1"/>
  <c r="AO54" i="72" s="1"/>
  <c r="BT54" i="72"/>
  <c r="BD54" i="72"/>
  <c r="AI54" i="72"/>
  <c r="AP54" i="72" a="1"/>
  <c r="AP54" i="72" s="1"/>
  <c r="BN54" i="72" a="1"/>
  <c r="BN54" i="72" s="1"/>
  <c r="BC41" i="69"/>
  <c r="BO11" i="72"/>
  <c r="BR11" i="72" s="1"/>
  <c r="H110" i="15" a="1"/>
  <c r="H110" i="15" s="1"/>
  <c r="BF34" i="69"/>
  <c r="AZ34" i="69"/>
  <c r="AG34" i="69" s="1" a="1"/>
  <c r="AG34" i="69" s="1"/>
  <c r="BA34" i="69"/>
  <c r="BQ21" i="72" a="1"/>
  <c r="BQ21" i="72" s="1"/>
  <c r="BF21" i="72"/>
  <c r="BE21" i="72"/>
  <c r="AK21" i="72" s="1"/>
  <c r="BO21" i="72"/>
  <c r="BR21" i="72" s="1"/>
  <c r="AJ21" i="72"/>
  <c r="BD6" i="69"/>
  <c r="E6" i="69"/>
  <c r="BH8" i="72"/>
  <c r="AJ8" i="72"/>
  <c r="BF8" i="72"/>
  <c r="BE8" i="72"/>
  <c r="AK8" i="72" s="1"/>
  <c r="AM19" i="72"/>
  <c r="AT54" i="69" a="1"/>
  <c r="AT54" i="69" s="1"/>
  <c r="AE22" i="72" a="1"/>
  <c r="AE22" i="72" s="1"/>
  <c r="AT22" i="72" s="1" a="1"/>
  <c r="AT22" i="72" s="1"/>
  <c r="E88" i="72"/>
  <c r="H48" i="69"/>
  <c r="BA48" i="69"/>
  <c r="AZ48" i="69"/>
  <c r="AG48" i="69" s="1" a="1"/>
  <c r="AG48" i="69" s="1"/>
  <c r="BJ48" i="69"/>
  <c r="BM48" i="69" s="1"/>
  <c r="AQ14" i="4"/>
  <c r="AR14" i="4"/>
  <c r="BQ31" i="72" a="1"/>
  <c r="BQ31" i="72" s="1"/>
  <c r="AN31" i="72"/>
  <c r="R31" i="72"/>
  <c r="BG31" i="72"/>
  <c r="AI31" i="72"/>
  <c r="BD31" i="72"/>
  <c r="BM31" i="72" a="1"/>
  <c r="BM31" i="72" s="1"/>
  <c r="BT31" i="72"/>
  <c r="E43" i="69"/>
  <c r="AH57" i="72"/>
  <c r="BD84" i="69"/>
  <c r="AJ17" i="72"/>
  <c r="BF17" i="72"/>
  <c r="BE17" i="72"/>
  <c r="AK17" i="72" s="1"/>
  <c r="AE38" i="69" a="1"/>
  <c r="AE38" i="69" s="1"/>
  <c r="BI38" i="69" s="1" a="1"/>
  <c r="BI38" i="69" s="1"/>
  <c r="AE59" i="72" a="1"/>
  <c r="AE59" i="72" s="1"/>
  <c r="AP59" i="72" s="1" a="1"/>
  <c r="AP59" i="72" s="1"/>
  <c r="AM59" i="72"/>
  <c r="L52" i="72"/>
  <c r="BV52" i="72"/>
  <c r="BK31" i="69"/>
  <c r="BJ31" i="69" s="1"/>
  <c r="BM31" i="69" s="1"/>
  <c r="E84" i="72"/>
  <c r="BP91" i="72"/>
  <c r="BO91" i="72" s="1"/>
  <c r="BR91" i="72" s="1"/>
  <c r="BC32" i="69"/>
  <c r="AH33" i="72"/>
  <c r="AF33" i="72" s="1" a="1"/>
  <c r="AF33" i="72" s="1"/>
  <c r="L59" i="69"/>
  <c r="BO64" i="72"/>
  <c r="BR64" i="72" s="1"/>
  <c r="BV24" i="72"/>
  <c r="K39" i="69" a="1"/>
  <c r="K39" i="69" s="1"/>
  <c r="BF24" i="69"/>
  <c r="BD8" i="69"/>
  <c r="CA49" i="4"/>
  <c r="AU49" i="4"/>
  <c r="Y49" i="4"/>
  <c r="AV49" i="4" a="1"/>
  <c r="AV49" i="4" s="1"/>
  <c r="AT49" i="4" a="1"/>
  <c r="AT49" i="4" s="1"/>
  <c r="CY49" i="4"/>
  <c r="CZ49" i="4" s="1"/>
  <c r="BQ49" i="4"/>
  <c r="AR5" i="4"/>
  <c r="AQ5" i="4"/>
  <c r="AR30" i="4"/>
  <c r="AQ30" i="4"/>
  <c r="BH65" i="72"/>
  <c r="AJ65" i="72"/>
  <c r="BE65" i="72"/>
  <c r="AK65" i="72" s="1"/>
  <c r="BF65" i="72"/>
  <c r="K32" i="72" a="1"/>
  <c r="K32" i="72" s="1"/>
  <c r="BG66" i="72"/>
  <c r="AW66" i="72" s="1" a="1"/>
  <c r="AW66" i="72" s="1"/>
  <c r="BT66" i="72"/>
  <c r="AI66" i="72"/>
  <c r="BN66" i="72" a="1"/>
  <c r="BN66" i="72" s="1"/>
  <c r="BD66" i="72"/>
  <c r="R66" i="72"/>
  <c r="AN66" i="72"/>
  <c r="AP66" i="72" a="1"/>
  <c r="AP66" i="72" s="1"/>
  <c r="BM66" i="72" a="1"/>
  <c r="BM66" i="72" s="1"/>
  <c r="BC33" i="69"/>
  <c r="K29" i="72" a="1"/>
  <c r="K29" i="72" s="1"/>
  <c r="BK29" i="72"/>
  <c r="L39" i="72"/>
  <c r="AP39" i="72" a="1"/>
  <c r="AP39" i="72" s="1"/>
  <c r="AN39" i="72"/>
  <c r="BM39" i="72" a="1"/>
  <c r="BM39" i="72" s="1"/>
  <c r="BD39" i="72"/>
  <c r="AI39" i="72"/>
  <c r="R39" i="72"/>
  <c r="BG39" i="72"/>
  <c r="AV39" i="72" s="1" a="1"/>
  <c r="AV39" i="72" s="1"/>
  <c r="BT39" i="72"/>
  <c r="BN39" i="72" a="1"/>
  <c r="BN39" i="72" s="1"/>
  <c r="BP71" i="72"/>
  <c r="AN71" i="72"/>
  <c r="AI71" i="72"/>
  <c r="BG71" i="72"/>
  <c r="AV71" i="72" s="1" a="1"/>
  <c r="AV71" i="72" s="1"/>
  <c r="AK71" i="72"/>
  <c r="BT71" i="72"/>
  <c r="BD71" i="72"/>
  <c r="BM71" i="72" a="1"/>
  <c r="BM71" i="72" s="1"/>
  <c r="R71" i="72"/>
  <c r="BN71" i="72" a="1"/>
  <c r="BN71" i="72" s="1"/>
  <c r="AP71" i="72" a="1"/>
  <c r="AP71" i="72" s="1"/>
  <c r="BA71" i="69"/>
  <c r="AZ71" i="69"/>
  <c r="AI71" i="69" s="1" a="1"/>
  <c r="AI71" i="69" s="1"/>
  <c r="L42" i="72"/>
  <c r="AZ52" i="69"/>
  <c r="AI52" i="69" s="1" a="1"/>
  <c r="AI52" i="69" s="1"/>
  <c r="BA52" i="69"/>
  <c r="D91" i="69" a="1"/>
  <c r="D91" i="69" s="1"/>
  <c r="Z1515" i="13"/>
  <c r="A1510" i="13"/>
  <c r="AX1411" i="13"/>
  <c r="AV1411" i="13"/>
  <c r="F131" i="15" a="1"/>
  <c r="F131" i="15" s="1"/>
  <c r="L81" i="69"/>
  <c r="BQ93" i="69"/>
  <c r="AO93" i="69" a="1"/>
  <c r="AO93" i="69" s="1"/>
  <c r="AY65" i="69"/>
  <c r="BO65" i="69"/>
  <c r="R65" i="69"/>
  <c r="BH65" i="69" a="1"/>
  <c r="BH65" i="69" s="1"/>
  <c r="BB65" i="69"/>
  <c r="E25" i="69"/>
  <c r="B78" i="69"/>
  <c r="BV72" i="72"/>
  <c r="K44" i="69" a="1"/>
  <c r="K44" i="69" s="1"/>
  <c r="E26" i="69"/>
  <c r="F23" i="72"/>
  <c r="F82" i="69"/>
  <c r="F82" i="72"/>
  <c r="BB1766" i="13" a="1"/>
  <c r="BB1766" i="13" s="1"/>
  <c r="BD1768" i="13" a="1"/>
  <c r="BD1768" i="13" s="1"/>
  <c r="BA1767" i="13" a="1"/>
  <c r="BA1767" i="13" s="1"/>
  <c r="BC1767" i="13" a="1"/>
  <c r="BC1767" i="13" s="1"/>
  <c r="K554" i="15" a="1"/>
  <c r="K554" i="15" s="1"/>
  <c r="BC1768" i="13" a="1"/>
  <c r="BC1768" i="13" s="1"/>
  <c r="BA1768" i="13" a="1"/>
  <c r="BA1768" i="13" s="1"/>
  <c r="BA1769" i="13" a="1"/>
  <c r="BA1769" i="13" s="1"/>
  <c r="AE69" i="72" a="1"/>
  <c r="AE69" i="72" s="1"/>
  <c r="BG69" i="72"/>
  <c r="BD69" i="72"/>
  <c r="AI69" i="72"/>
  <c r="R69" i="72"/>
  <c r="BT69" i="72"/>
  <c r="BM69" i="72" a="1"/>
  <c r="BM69" i="72" s="1"/>
  <c r="AN69" i="72"/>
  <c r="BP89" i="72"/>
  <c r="BO89" i="72" s="1"/>
  <c r="BR89" i="72" s="1"/>
  <c r="BV89" i="72"/>
  <c r="AT89" i="72" a="1"/>
  <c r="AT89" i="72" s="1"/>
  <c r="BV73" i="72"/>
  <c r="AE13" i="72" a="1"/>
  <c r="AE13" i="72" s="1"/>
  <c r="U90" i="69" a="1"/>
  <c r="U90" i="69" s="1"/>
  <c r="BQ25" i="72" a="1"/>
  <c r="BQ25" i="72" s="1"/>
  <c r="R25" i="72"/>
  <c r="AI25" i="72"/>
  <c r="BN25" i="72" a="1"/>
  <c r="BN25" i="72" s="1"/>
  <c r="AP25" i="72" a="1"/>
  <c r="AP25" i="72" s="1"/>
  <c r="BM25" i="72" a="1"/>
  <c r="BM25" i="72" s="1"/>
  <c r="BT25" i="72"/>
  <c r="AN25" i="72"/>
  <c r="BD25" i="72"/>
  <c r="BG25" i="72"/>
  <c r="AV25" i="72" s="1" a="1"/>
  <c r="AV25" i="72" s="1"/>
  <c r="AM78" i="72"/>
  <c r="AD30" i="72"/>
  <c r="AM30" i="72"/>
  <c r="BK72" i="69"/>
  <c r="BJ72" i="69" s="1"/>
  <c r="BM72" i="69" s="1"/>
  <c r="AO72" i="69" a="1"/>
  <c r="AO72" i="69" s="1"/>
  <c r="BQ72" i="69"/>
  <c r="BT59" i="4"/>
  <c r="BD59" i="4"/>
  <c r="BR59" i="4" s="1"/>
  <c r="BV79" i="72"/>
  <c r="BN36" i="69"/>
  <c r="BF36" i="69"/>
  <c r="P51" i="14"/>
  <c r="Z51" i="23"/>
  <c r="Z51" i="14" s="1"/>
  <c r="K28" i="72" a="1"/>
  <c r="K28" i="72" s="1"/>
  <c r="BQ28" i="72" a="1"/>
  <c r="BQ28" i="72" s="1"/>
  <c r="BM28" i="72" a="1"/>
  <c r="BM28" i="72" s="1"/>
  <c r="AI28" i="72"/>
  <c r="R28" i="72"/>
  <c r="BT28" i="72"/>
  <c r="AK28" i="72"/>
  <c r="BG28" i="72"/>
  <c r="AW28" i="72" s="1" a="1"/>
  <c r="AW28" i="72" s="1"/>
  <c r="AN28" i="72"/>
  <c r="BD28" i="72"/>
  <c r="BN28" i="72" a="1"/>
  <c r="BN28" i="72" s="1"/>
  <c r="AP28" i="72" a="1"/>
  <c r="AP28" i="72" s="1"/>
  <c r="R51" i="69"/>
  <c r="AY51" i="69"/>
  <c r="BO51" i="69"/>
  <c r="BB51" i="69"/>
  <c r="BH51" i="69" a="1"/>
  <c r="BH51" i="69" s="1"/>
  <c r="BI51" i="69" a="1"/>
  <c r="BI51" i="69" s="1"/>
  <c r="AK51" i="69" a="1"/>
  <c r="AK51" i="69" s="1"/>
  <c r="AM77" i="72"/>
  <c r="AR50" i="4"/>
  <c r="AQ50" i="4"/>
  <c r="AR38" i="4"/>
  <c r="AQ38" i="4"/>
  <c r="F223" i="15" a="1"/>
  <c r="F223" i="15" s="1"/>
  <c r="BC69" i="69"/>
  <c r="S69" i="69"/>
  <c r="E89" i="69"/>
  <c r="BL73" i="69" a="1"/>
  <c r="BL73" i="69" s="1"/>
  <c r="AY73" i="69"/>
  <c r="BB73" i="69"/>
  <c r="BO73" i="69"/>
  <c r="BH73" i="69" a="1"/>
  <c r="BH73" i="69" s="1"/>
  <c r="R73" i="69"/>
  <c r="U90" i="72" a="1"/>
  <c r="U90" i="72" s="1"/>
  <c r="AH70" i="72"/>
  <c r="BK50" i="72"/>
  <c r="BA1766" i="13" a="1"/>
  <c r="BA1766" i="13" s="1"/>
  <c r="BP82" i="72"/>
  <c r="BO82" i="72" s="1"/>
  <c r="BR82" i="72" s="1"/>
  <c r="AM82" i="72"/>
  <c r="BL27" i="69" a="1"/>
  <c r="BL27" i="69" s="1"/>
  <c r="BD70" i="69"/>
  <c r="BC80" i="69"/>
  <c r="AZ80" i="69"/>
  <c r="AG80" i="69" s="1" a="1"/>
  <c r="AG80" i="69" s="1"/>
  <c r="BA80" i="69"/>
  <c r="BV76" i="72"/>
  <c r="AT76" i="72" a="1"/>
  <c r="AT76" i="72" s="1"/>
  <c r="BH90" i="4"/>
  <c r="BG80" i="4"/>
  <c r="AV1178" i="13" s="1"/>
  <c r="X80" i="4"/>
  <c r="L80" i="4"/>
  <c r="BF65" i="4"/>
  <c r="BF73" i="4"/>
  <c r="BF74" i="4"/>
  <c r="AS7" i="69" a="1"/>
  <c r="AS7" i="69" s="1"/>
  <c r="AF7" i="69" a="1"/>
  <c r="AF7" i="69" s="1"/>
  <c r="AH7" i="69" a="1"/>
  <c r="AH7" i="69" s="1"/>
  <c r="AL7" i="69" a="1"/>
  <c r="AL7" i="69" s="1"/>
  <c r="AJ7" i="69" a="1"/>
  <c r="AJ7" i="69" s="1"/>
  <c r="AU7" i="69" a="1"/>
  <c r="AU7" i="69" s="1"/>
  <c r="AV7" i="69" a="1"/>
  <c r="AV7" i="69" s="1"/>
  <c r="AP7" i="69" a="1"/>
  <c r="AP7" i="69" s="1"/>
  <c r="I235" i="15" a="1"/>
  <c r="I235" i="15" s="1"/>
  <c r="AY86" i="72" a="1"/>
  <c r="AY86" i="72" s="1"/>
  <c r="Z1565" i="13"/>
  <c r="AX1461" i="13"/>
  <c r="A1560" i="13"/>
  <c r="AV1461" i="13"/>
  <c r="I238" i="15" a="1"/>
  <c r="I238" i="15" s="1"/>
  <c r="BE3" i="4" a="1"/>
  <c r="BE3" i="4" s="1"/>
  <c r="AQ17" i="4"/>
  <c r="AR17" i="4"/>
  <c r="BL94" i="4"/>
  <c r="DV94" i="4"/>
  <c r="AV596" i="13"/>
  <c r="BH94" i="4"/>
  <c r="I242" i="15" a="1"/>
  <c r="I242" i="15" s="1"/>
  <c r="AJ15" i="72"/>
  <c r="BO15" i="72"/>
  <c r="BR15" i="72" s="1"/>
  <c r="BE15" i="72"/>
  <c r="AG15" i="72" s="1" a="1"/>
  <c r="AG15" i="72" s="1"/>
  <c r="BF15" i="72"/>
  <c r="BV15" i="72"/>
  <c r="AT15" i="72" a="1"/>
  <c r="AT15" i="72" s="1"/>
  <c r="BV87" i="72"/>
  <c r="BK7" i="69"/>
  <c r="BJ7" i="69" s="1"/>
  <c r="BM7" i="69" s="1"/>
  <c r="BA7" i="69"/>
  <c r="AZ7" i="69"/>
  <c r="AI7" i="69" s="1" a="1"/>
  <c r="AI7" i="69" s="1"/>
  <c r="E92" i="69"/>
  <c r="E62" i="72"/>
  <c r="AM46" i="72"/>
  <c r="BQ17" i="69"/>
  <c r="AO17" i="69" a="1"/>
  <c r="AO17" i="69" s="1"/>
  <c r="BF17" i="69"/>
  <c r="AV1459" i="13"/>
  <c r="A1558" i="13"/>
  <c r="AX1459" i="13"/>
  <c r="Z1563" i="13"/>
  <c r="AZ37" i="69"/>
  <c r="AI37" i="69" s="1" a="1"/>
  <c r="AI37" i="69" s="1"/>
  <c r="BA37" i="69"/>
  <c r="E15" i="69"/>
  <c r="E53" i="69"/>
  <c r="BI27" i="72"/>
  <c r="E27" i="72"/>
  <c r="BV27" i="72"/>
  <c r="AT27" i="72" a="1"/>
  <c r="AT27" i="72" s="1"/>
  <c r="AE16" i="72" a="1"/>
  <c r="AE16" i="72" s="1"/>
  <c r="AT16" i="72" s="1" a="1"/>
  <c r="AT16" i="72" s="1"/>
  <c r="AY80" i="72" a="1"/>
  <c r="AY80" i="72" s="1"/>
  <c r="BQ61" i="72" a="1"/>
  <c r="BQ61" i="72" s="1"/>
  <c r="AX1407" i="13"/>
  <c r="A1506" i="13"/>
  <c r="Z1511" i="13"/>
  <c r="AV1407" i="13"/>
  <c r="BC20" i="69"/>
  <c r="BQ20" i="69"/>
  <c r="AO20" i="69" a="1"/>
  <c r="AO20" i="69" s="1"/>
  <c r="E22" i="69"/>
  <c r="CA50" i="4"/>
  <c r="AU50" i="4"/>
  <c r="AT50" i="4" a="1"/>
  <c r="AT50" i="4" s="1"/>
  <c r="AV50" i="4" a="1"/>
  <c r="AV50" i="4" s="1"/>
  <c r="Y50" i="4"/>
  <c r="BQ50" i="4"/>
  <c r="CA35" i="4"/>
  <c r="AV35" i="4" a="1"/>
  <c r="AV35" i="4" s="1"/>
  <c r="Y35" i="4"/>
  <c r="AT35" i="4" a="1"/>
  <c r="AT35" i="4" s="1"/>
  <c r="AU35" i="4"/>
  <c r="BQ35" i="4"/>
  <c r="BL85" i="4"/>
  <c r="AV587" i="13"/>
  <c r="BH85" i="4"/>
  <c r="DV85" i="4"/>
  <c r="A1507" i="13"/>
  <c r="Z1512" i="13"/>
  <c r="AX1408" i="13"/>
  <c r="AV1408" i="13"/>
  <c r="AX1436" i="13"/>
  <c r="A1535" i="13"/>
  <c r="Z1540" i="13"/>
  <c r="AV1436" i="13"/>
  <c r="AE14" i="69" a="1"/>
  <c r="AE14" i="69" s="1"/>
  <c r="BI14" i="69" s="1" a="1"/>
  <c r="BI14" i="69" s="1"/>
  <c r="W87" i="22"/>
  <c r="Y87" i="22" s="1"/>
  <c r="AV57" i="13"/>
  <c r="Z1351" i="13"/>
  <c r="AW55" i="4"/>
  <c r="L55" i="4"/>
  <c r="F55" i="4"/>
  <c r="AY55" i="4"/>
  <c r="AP55" i="4"/>
  <c r="DV73" i="4"/>
  <c r="BL73" i="4"/>
  <c r="AV575" i="13"/>
  <c r="BH73" i="4"/>
  <c r="Z1657" i="13"/>
  <c r="S65" i="4"/>
  <c r="T65" i="4"/>
  <c r="AX1319" i="13"/>
  <c r="A1418" i="13"/>
  <c r="BH14" i="72"/>
  <c r="BV14" i="72"/>
  <c r="AT14" i="72" a="1"/>
  <c r="AT14" i="72" s="1"/>
  <c r="AD54" i="72"/>
  <c r="BE54" i="72"/>
  <c r="AK54" i="72" s="1"/>
  <c r="BF54" i="72"/>
  <c r="AJ54" i="72"/>
  <c r="AH49" i="72"/>
  <c r="BE49" i="72"/>
  <c r="AK49" i="72" s="1"/>
  <c r="AJ49" i="72"/>
  <c r="BF49" i="72"/>
  <c r="Z1556" i="13"/>
  <c r="A1551" i="13"/>
  <c r="AX1452" i="13"/>
  <c r="E83" i="69"/>
  <c r="BD1769" i="13" a="1"/>
  <c r="BD1769" i="13" s="1"/>
  <c r="BK41" i="69"/>
  <c r="BJ41" i="69" s="1"/>
  <c r="BM41" i="69" s="1"/>
  <c r="E41" i="69"/>
  <c r="C41" i="69"/>
  <c r="D41" i="69" s="1" a="1"/>
  <c r="D41" i="69" s="1"/>
  <c r="AY11" i="72" a="1"/>
  <c r="AY11" i="72" s="1"/>
  <c r="AM11" i="72"/>
  <c r="BF11" i="72"/>
  <c r="BE11" i="72"/>
  <c r="AJ11" i="72"/>
  <c r="F110" i="15" a="1"/>
  <c r="F110" i="15" s="1"/>
  <c r="BQ34" i="69"/>
  <c r="AO34" i="69" a="1"/>
  <c r="AO34" i="69" s="1"/>
  <c r="K48" i="72" a="1"/>
  <c r="K48" i="72" s="1"/>
  <c r="E48" i="72"/>
  <c r="BK45" i="69"/>
  <c r="AY45" i="69"/>
  <c r="R45" i="69"/>
  <c r="BH45" i="69" a="1"/>
  <c r="BH45" i="69" s="1"/>
  <c r="BB45" i="69"/>
  <c r="AR45" i="69" s="1" a="1"/>
  <c r="AR45" i="69" s="1"/>
  <c r="BO45" i="69"/>
  <c r="AK45" i="69" a="1"/>
  <c r="AK45" i="69" s="1"/>
  <c r="K46" i="69" a="1"/>
  <c r="K46" i="69" s="1"/>
  <c r="BP23" i="69"/>
  <c r="Z23" i="69"/>
  <c r="AX23" i="69"/>
  <c r="Q23" i="69"/>
  <c r="U23" i="69" a="1"/>
  <c r="U23" i="69" s="1"/>
  <c r="AW23" i="69"/>
  <c r="AN23" i="69"/>
  <c r="AC23" i="69"/>
  <c r="M23" i="69"/>
  <c r="K23" i="69" a="1"/>
  <c r="K23" i="69" s="1"/>
  <c r="Y23" i="69"/>
  <c r="G23" i="69"/>
  <c r="L23" i="69"/>
  <c r="T23" i="69"/>
  <c r="V23" i="69"/>
  <c r="B23" i="69" s="1"/>
  <c r="AM23" i="69"/>
  <c r="W23" i="69"/>
  <c r="BL23" i="69" s="1" a="1"/>
  <c r="BL23" i="69" s="1"/>
  <c r="N23" i="69" a="1"/>
  <c r="N23" i="69" s="1"/>
  <c r="S23" i="69"/>
  <c r="AB23" i="69" a="1"/>
  <c r="AB23" i="69" s="1"/>
  <c r="P23" i="69"/>
  <c r="A23" i="69"/>
  <c r="AA23" i="69"/>
  <c r="J23" i="69"/>
  <c r="I215" i="15" a="1"/>
  <c r="I215" i="15" s="1"/>
  <c r="BC35" i="69"/>
  <c r="BH21" i="72"/>
  <c r="BV21" i="72"/>
  <c r="BQ6" i="69"/>
  <c r="AH8" i="72"/>
  <c r="AM8" i="72"/>
  <c r="AZ63" i="69"/>
  <c r="AG63" i="69" s="1" a="1"/>
  <c r="AG63" i="69" s="1"/>
  <c r="BA63" i="69"/>
  <c r="AH19" i="72"/>
  <c r="AF19" i="72" s="1" a="1"/>
  <c r="AF19" i="72" s="1"/>
  <c r="BK54" i="69"/>
  <c r="AY54" i="69"/>
  <c r="R54" i="69"/>
  <c r="AJ54" i="69" s="1" a="1"/>
  <c r="AJ54" i="69" s="1"/>
  <c r="BB54" i="69"/>
  <c r="AQ54" i="69" s="1" a="1"/>
  <c r="AQ54" i="69" s="1"/>
  <c r="BO54" i="69"/>
  <c r="BH54" i="69" a="1"/>
  <c r="BH54" i="69" s="1"/>
  <c r="AK54" i="69" a="1"/>
  <c r="AK54" i="69" s="1"/>
  <c r="BQ22" i="72" a="1"/>
  <c r="BQ22" i="72" s="1"/>
  <c r="I62" i="69"/>
  <c r="I62" i="72"/>
  <c r="E5" i="72"/>
  <c r="BF58" i="72"/>
  <c r="BK35" i="72"/>
  <c r="BO35" i="72"/>
  <c r="BR35" i="72" s="1"/>
  <c r="BF35" i="72"/>
  <c r="BE35" i="72"/>
  <c r="AK35" i="72" s="1"/>
  <c r="AJ35" i="72"/>
  <c r="DV89" i="4"/>
  <c r="BL89" i="4"/>
  <c r="AV591" i="13"/>
  <c r="BH89" i="4"/>
  <c r="AQ53" i="4"/>
  <c r="AR53" i="4"/>
  <c r="BK31" i="72"/>
  <c r="K43" i="69" a="1"/>
  <c r="K43" i="69" s="1"/>
  <c r="BC84" i="69"/>
  <c r="BQ42" i="69"/>
  <c r="AO42" i="69" a="1"/>
  <c r="AO42" i="69" s="1"/>
  <c r="AH17" i="72"/>
  <c r="K26" i="72" a="1"/>
  <c r="K26" i="72" s="1"/>
  <c r="AI26" i="72"/>
  <c r="R26" i="72"/>
  <c r="AN26" i="72"/>
  <c r="BG26" i="72"/>
  <c r="BM26" i="72" a="1"/>
  <c r="BM26" i="72" s="1"/>
  <c r="BD26" i="72"/>
  <c r="BT26" i="72"/>
  <c r="AK26" i="72"/>
  <c r="BC38" i="69"/>
  <c r="AY59" i="72" a="1"/>
  <c r="AY59" i="72" s="1"/>
  <c r="BI52" i="72"/>
  <c r="AR43" i="4"/>
  <c r="AQ43" i="4"/>
  <c r="AX1413" i="13"/>
  <c r="AV1413" i="13"/>
  <c r="Z1517" i="13"/>
  <c r="A1512" i="13"/>
  <c r="BK57" i="69"/>
  <c r="BI57" i="69" a="1"/>
  <c r="BI57" i="69" s="1"/>
  <c r="AY57" i="69"/>
  <c r="BB57" i="69"/>
  <c r="AR57" i="69" s="1" a="1"/>
  <c r="AR57" i="69" s="1"/>
  <c r="BO57" i="69"/>
  <c r="R57" i="69"/>
  <c r="BH57" i="69" a="1"/>
  <c r="BH57" i="69" s="1"/>
  <c r="AK57" i="69" a="1"/>
  <c r="AK57" i="69" s="1"/>
  <c r="AM91" i="72"/>
  <c r="BD32" i="69"/>
  <c r="BB32" i="69"/>
  <c r="AR32" i="69" s="1" a="1"/>
  <c r="AR32" i="69" s="1"/>
  <c r="R32" i="69"/>
  <c r="AK32" i="69" a="1"/>
  <c r="AK32" i="69" s="1"/>
  <c r="BI32" i="69" a="1"/>
  <c r="BI32" i="69" s="1"/>
  <c r="AY32" i="69"/>
  <c r="AJ32" i="69" s="1" a="1"/>
  <c r="AJ32" i="69" s="1"/>
  <c r="BH32" i="69" a="1"/>
  <c r="BH32" i="69" s="1"/>
  <c r="BO32" i="69"/>
  <c r="AM33" i="72"/>
  <c r="BQ64" i="72" a="1"/>
  <c r="BQ64" i="72" s="1"/>
  <c r="AN64" i="72"/>
  <c r="BT64" i="72"/>
  <c r="AI64" i="72"/>
  <c r="BD64" i="72"/>
  <c r="R64" i="72"/>
  <c r="BN64" i="72" a="1"/>
  <c r="BN64" i="72" s="1"/>
  <c r="BM64" i="72" a="1"/>
  <c r="BM64" i="72" s="1"/>
  <c r="BG64" i="72"/>
  <c r="AW64" i="72" s="1" a="1"/>
  <c r="AW64" i="72" s="1"/>
  <c r="AP64" i="72" a="1"/>
  <c r="AP64" i="72" s="1"/>
  <c r="AE74" i="69" a="1"/>
  <c r="AE74" i="69" s="1"/>
  <c r="AO74" i="69" s="1" a="1"/>
  <c r="AO74" i="69" s="1"/>
  <c r="BI24" i="72"/>
  <c r="AT39" i="69" a="1"/>
  <c r="AT39" i="69" s="1"/>
  <c r="AZ24" i="69"/>
  <c r="BA24" i="69"/>
  <c r="BF79" i="69"/>
  <c r="BQ79" i="69"/>
  <c r="AO79" i="69" a="1"/>
  <c r="AO79" i="69" s="1"/>
  <c r="A1524" i="13"/>
  <c r="Z1529" i="13"/>
  <c r="AV1425" i="13"/>
  <c r="AX1425" i="13"/>
  <c r="L68" i="69"/>
  <c r="E68" i="69"/>
  <c r="AX1444" i="13"/>
  <c r="A1543" i="13"/>
  <c r="AV1444" i="13"/>
  <c r="Z1548" i="13"/>
  <c r="BD60" i="4"/>
  <c r="A1584" i="13"/>
  <c r="AV1485" i="13"/>
  <c r="AX1485" i="13"/>
  <c r="Z1589" i="13"/>
  <c r="Z1689" i="13" s="1"/>
  <c r="AH81" i="72"/>
  <c r="BE93" i="72"/>
  <c r="AJ93" i="72"/>
  <c r="BF93" i="72"/>
  <c r="BF91" i="69"/>
  <c r="AD32" i="72"/>
  <c r="BP66" i="72"/>
  <c r="BO66" i="72" s="1"/>
  <c r="BR66" i="72" s="1"/>
  <c r="AH66" i="72"/>
  <c r="BV29" i="72"/>
  <c r="AT29" i="72" a="1"/>
  <c r="AT29" i="72" s="1"/>
  <c r="BI39" i="72"/>
  <c r="E64" i="69"/>
  <c r="AH74" i="72"/>
  <c r="AJ42" i="72"/>
  <c r="BE42" i="72"/>
  <c r="AK42" i="72" s="1"/>
  <c r="BF42" i="72"/>
  <c r="H76" i="15" a="1"/>
  <c r="H76" i="15" s="1"/>
  <c r="AE65" i="69" a="1"/>
  <c r="AE65" i="69" s="1"/>
  <c r="BI65" i="69" s="1" a="1"/>
  <c r="BI65" i="69" s="1"/>
  <c r="BQ65" i="69"/>
  <c r="BQ12" i="69"/>
  <c r="AO12" i="69" a="1"/>
  <c r="AO12" i="69" s="1"/>
  <c r="K25" i="69" a="1"/>
  <c r="K25" i="69" s="1"/>
  <c r="BJ25" i="69"/>
  <c r="BM25" i="69" s="1"/>
  <c r="BA25" i="69"/>
  <c r="AZ25" i="69"/>
  <c r="AG25" i="69" s="1" a="1"/>
  <c r="AG25" i="69" s="1"/>
  <c r="AD30" i="69"/>
  <c r="BQ30" i="69"/>
  <c r="AO30" i="69" a="1"/>
  <c r="AO30" i="69" s="1"/>
  <c r="BQ29" i="69"/>
  <c r="AO29" i="69" a="1"/>
  <c r="AO29" i="69" s="1"/>
  <c r="K26" i="69" a="1"/>
  <c r="K26" i="69" s="1"/>
  <c r="X33" i="4"/>
  <c r="F191" i="15" a="1"/>
  <c r="F191" i="15" s="1"/>
  <c r="BF47" i="69"/>
  <c r="BP13" i="72"/>
  <c r="BO13" i="72" s="1"/>
  <c r="BR13" i="72" s="1"/>
  <c r="BK13" i="72"/>
  <c r="BK25" i="72"/>
  <c r="AH25" i="72"/>
  <c r="U78" i="72" a="1"/>
  <c r="U78" i="72" s="1"/>
  <c r="AY30" i="72" a="1"/>
  <c r="AY30" i="72" s="1"/>
  <c r="AJ30" i="72"/>
  <c r="BF30" i="72"/>
  <c r="BE30" i="72"/>
  <c r="AK30" i="72" s="1"/>
  <c r="BD72" i="69"/>
  <c r="BD82" i="69"/>
  <c r="AE82" i="69" a="1"/>
  <c r="AE82" i="69" s="1"/>
  <c r="AO82" i="69" s="1" a="1"/>
  <c r="AO82" i="69" s="1"/>
  <c r="BK79" i="72"/>
  <c r="BO36" i="72"/>
  <c r="BR36" i="72" s="1"/>
  <c r="O36" i="72"/>
  <c r="BI44" i="72"/>
  <c r="BP44" i="72"/>
  <c r="AI44" i="72"/>
  <c r="AN44" i="72"/>
  <c r="R44" i="72"/>
  <c r="BD44" i="72"/>
  <c r="BT44" i="72"/>
  <c r="BM44" i="72" a="1"/>
  <c r="BM44" i="72" s="1"/>
  <c r="BG44" i="72"/>
  <c r="BN44" i="72" a="1"/>
  <c r="BN44" i="72" s="1"/>
  <c r="AP44" i="72" a="1"/>
  <c r="AP44" i="72" s="1"/>
  <c r="K36" i="69" a="1"/>
  <c r="K36" i="69" s="1"/>
  <c r="K51" i="69" a="1"/>
  <c r="K51" i="69" s="1"/>
  <c r="AP77" i="72" a="1"/>
  <c r="AP77" i="72" s="1"/>
  <c r="AQ77" i="72" a="1"/>
  <c r="AQ77" i="72" s="1"/>
  <c r="AL77" i="72" a="1"/>
  <c r="AL77" i="72" s="1"/>
  <c r="AZ77" i="72" a="1"/>
  <c r="AZ77" i="72" s="1"/>
  <c r="AO77" i="72" a="1"/>
  <c r="AO77" i="72" s="1"/>
  <c r="BA77" i="72" a="1"/>
  <c r="BA77" i="72" s="1"/>
  <c r="AF77" i="72" a="1"/>
  <c r="AF77" i="72" s="1"/>
  <c r="AU77" i="72" a="1"/>
  <c r="AU77" i="72" s="1"/>
  <c r="R56" i="72"/>
  <c r="BG56" i="72"/>
  <c r="BM56" i="72" a="1"/>
  <c r="BM56" i="72" s="1"/>
  <c r="AN56" i="72"/>
  <c r="BT56" i="72"/>
  <c r="AI56" i="72"/>
  <c r="BD56" i="72"/>
  <c r="BD86" i="4"/>
  <c r="X86" i="4" s="1"/>
  <c r="AZ89" i="69"/>
  <c r="BA89" i="69"/>
  <c r="BC73" i="69"/>
  <c r="BH47" i="72"/>
  <c r="BV47" i="72"/>
  <c r="AM50" i="72"/>
  <c r="G67" i="69"/>
  <c r="BC1766" i="13" a="1"/>
  <c r="BC1766" i="13" s="1"/>
  <c r="BF53" i="72"/>
  <c r="AJ53" i="72"/>
  <c r="BE53" i="72"/>
  <c r="AK53" i="72" s="1"/>
  <c r="O27" i="69"/>
  <c r="AE16" i="69" a="1"/>
  <c r="AE16" i="69" s="1"/>
  <c r="BI16" i="69" s="1" a="1"/>
  <c r="BI16" i="69" s="1"/>
  <c r="BA50" i="69"/>
  <c r="AZ50" i="69"/>
  <c r="BL50" i="69" a="1"/>
  <c r="BL50" i="69" s="1"/>
  <c r="AY50" i="69"/>
  <c r="R50" i="69"/>
  <c r="BO50" i="69"/>
  <c r="BH50" i="69" a="1"/>
  <c r="BH50" i="69" s="1"/>
  <c r="BB50" i="69"/>
  <c r="U80" i="69" a="1"/>
  <c r="U80" i="69" s="1"/>
  <c r="U61" i="69" a="1"/>
  <c r="U61" i="69" s="1"/>
  <c r="BQ61" i="69"/>
  <c r="AO61" i="69" a="1"/>
  <c r="AO61" i="69" s="1"/>
  <c r="AI58" i="69" a="1"/>
  <c r="AI58" i="69" s="1"/>
  <c r="AR92" i="4"/>
  <c r="AQ92" i="4"/>
  <c r="BH66" i="4"/>
  <c r="BG92" i="4"/>
  <c r="AV1190" i="13" s="1"/>
  <c r="L92" i="4"/>
  <c r="BF57" i="4"/>
  <c r="X84" i="4"/>
  <c r="BR84" i="4"/>
  <c r="AD84" i="69" s="1"/>
  <c r="BG84" i="4"/>
  <c r="AV1182" i="13" s="1"/>
  <c r="L84" i="4"/>
  <c r="BG73" i="4"/>
  <c r="AV1171" i="13" s="1"/>
  <c r="L73" i="4"/>
  <c r="BG93" i="4"/>
  <c r="AV1191" i="13" s="1"/>
  <c r="L93" i="4"/>
  <c r="BF96" i="4"/>
  <c r="BQ87" i="72" a="1"/>
  <c r="BQ87" i="72" s="1"/>
  <c r="AN87" i="72"/>
  <c r="AI87" i="72"/>
  <c r="BM87" i="72" a="1"/>
  <c r="BM87" i="72" s="1"/>
  <c r="BT87" i="72"/>
  <c r="BG87" i="72"/>
  <c r="BD87" i="72"/>
  <c r="R87" i="72"/>
  <c r="BQ28" i="69"/>
  <c r="BO28" i="69"/>
  <c r="BH28" i="69" a="1"/>
  <c r="BH28" i="69" s="1"/>
  <c r="AY28" i="69"/>
  <c r="BB28" i="69"/>
  <c r="R28" i="69"/>
  <c r="BF62" i="72"/>
  <c r="BE62" i="72"/>
  <c r="AK62" i="72" s="1"/>
  <c r="AJ62" i="72"/>
  <c r="Z1528" i="13"/>
  <c r="AX1424" i="13"/>
  <c r="AV1424" i="13"/>
  <c r="A1523" i="13"/>
  <c r="BA17" i="69"/>
  <c r="AZ17" i="69"/>
  <c r="AI17" i="69" s="1" a="1"/>
  <c r="AI17" i="69" s="1"/>
  <c r="BJ17" i="69"/>
  <c r="BM17" i="69" s="1"/>
  <c r="AR52" i="4"/>
  <c r="AQ52" i="4"/>
  <c r="O15" i="69"/>
  <c r="BL87" i="69" a="1"/>
  <c r="BL87" i="69" s="1"/>
  <c r="BN27" i="72" a="1"/>
  <c r="BN27" i="72" s="1"/>
  <c r="AF27" i="72" a="1"/>
  <c r="AF27" i="72" s="1"/>
  <c r="AU27" i="72" a="1"/>
  <c r="AU27" i="72" s="1"/>
  <c r="BA27" i="72" a="1"/>
  <c r="BA27" i="72" s="1"/>
  <c r="AQ27" i="72" a="1"/>
  <c r="AQ27" i="72" s="1"/>
  <c r="AL27" i="72" a="1"/>
  <c r="AL27" i="72" s="1"/>
  <c r="AZ27" i="72" a="1"/>
  <c r="AZ27" i="72" s="1"/>
  <c r="L27" i="72"/>
  <c r="BM27" i="72" a="1"/>
  <c r="BM27" i="72" s="1"/>
  <c r="BT27" i="72"/>
  <c r="AI27" i="72"/>
  <c r="BG27" i="72"/>
  <c r="AV27" i="72" s="1" a="1"/>
  <c r="AV27" i="72" s="1"/>
  <c r="AN27" i="72"/>
  <c r="BD27" i="72"/>
  <c r="R27" i="72"/>
  <c r="AO27" i="72" s="1" a="1"/>
  <c r="AO27" i="72" s="1"/>
  <c r="AP27" i="72" a="1"/>
  <c r="AP27" i="72" s="1"/>
  <c r="BV16" i="72"/>
  <c r="AT68" i="72" a="1"/>
  <c r="AT68" i="72" s="1"/>
  <c r="BV68" i="72"/>
  <c r="AT86" i="69" a="1"/>
  <c r="AT86" i="69" s="1"/>
  <c r="AJ92" i="72"/>
  <c r="BE92" i="72"/>
  <c r="AG92" i="72" s="1" a="1"/>
  <c r="AG92" i="72" s="1"/>
  <c r="BF92" i="72"/>
  <c r="AE80" i="72" a="1"/>
  <c r="AE80" i="72" s="1"/>
  <c r="BF61" i="72"/>
  <c r="BE61" i="72"/>
  <c r="AK61" i="72" s="1"/>
  <c r="AJ61" i="72"/>
  <c r="BV43" i="72"/>
  <c r="BV45" i="72"/>
  <c r="I86" i="72"/>
  <c r="I86" i="69"/>
  <c r="BD7" i="69"/>
  <c r="BM7" i="4"/>
  <c r="BE7" i="4" s="1" a="1"/>
  <c r="BE7" i="4" s="1"/>
  <c r="AV1409" i="13"/>
  <c r="Z1513" i="13"/>
  <c r="AX1409" i="13"/>
  <c r="A1508" i="13"/>
  <c r="AX1552" i="13"/>
  <c r="AV1552" i="13"/>
  <c r="AV1651" i="13" s="1"/>
  <c r="A1651" i="13"/>
  <c r="AX1651" i="13" s="1"/>
  <c r="BQ21" i="69"/>
  <c r="AO21" i="69" a="1"/>
  <c r="AO21" i="69" s="1"/>
  <c r="AM18" i="72"/>
  <c r="AO85" i="69" a="1"/>
  <c r="AO85" i="69" s="1"/>
  <c r="BQ85" i="69"/>
  <c r="BF63" i="72"/>
  <c r="BE63" i="72"/>
  <c r="AK63" i="72" s="1"/>
  <c r="AJ63" i="72"/>
  <c r="AY54" i="72" a="1"/>
  <c r="AY54" i="72" s="1"/>
  <c r="E49" i="72"/>
  <c r="AM49" i="72"/>
  <c r="BD68" i="4"/>
  <c r="BR68" i="4" s="1"/>
  <c r="BB1769" i="13" a="1"/>
  <c r="BB1769" i="13" s="1"/>
  <c r="AE11" i="72" a="1"/>
  <c r="AE11" i="72" s="1"/>
  <c r="AP11" i="72" s="1" a="1"/>
  <c r="AP11" i="72" s="1"/>
  <c r="BD57" i="4"/>
  <c r="X57" i="4" s="1"/>
  <c r="AY48" i="72" a="1"/>
  <c r="AY48" i="72" s="1"/>
  <c r="BP48" i="72"/>
  <c r="AN48" i="72"/>
  <c r="AI48" i="72"/>
  <c r="BT48" i="72"/>
  <c r="BM48" i="72" a="1"/>
  <c r="BM48" i="72" s="1"/>
  <c r="BD48" i="72"/>
  <c r="BG48" i="72"/>
  <c r="R48" i="72"/>
  <c r="Z1555" i="13"/>
  <c r="AX1451" i="13"/>
  <c r="A1550" i="13"/>
  <c r="AV1451" i="13"/>
  <c r="BO6" i="72"/>
  <c r="BR6" i="72" s="1"/>
  <c r="AT45" i="69" a="1"/>
  <c r="AT45" i="69" s="1"/>
  <c r="K44" i="72" a="1"/>
  <c r="K44" i="72" s="1"/>
  <c r="P23" i="72"/>
  <c r="AB23" i="72" a="1"/>
  <c r="AB23" i="72" s="1"/>
  <c r="V23" i="72"/>
  <c r="B23" i="72" s="1"/>
  <c r="BC23" i="72"/>
  <c r="M23" i="72"/>
  <c r="AS23" i="72"/>
  <c r="AR23" i="72"/>
  <c r="K23" i="72" a="1"/>
  <c r="K23" i="72" s="1"/>
  <c r="G23" i="72"/>
  <c r="Q23" i="72"/>
  <c r="BB23" i="72"/>
  <c r="N23" i="72" a="1"/>
  <c r="N23" i="72" s="1"/>
  <c r="Z23" i="72"/>
  <c r="S23" i="72"/>
  <c r="A23" i="72"/>
  <c r="U23" i="72" a="1"/>
  <c r="U23" i="72" s="1"/>
  <c r="T23" i="72"/>
  <c r="Y23" i="72"/>
  <c r="BU23" i="72"/>
  <c r="L23" i="72"/>
  <c r="W23" i="72"/>
  <c r="AC23" i="72"/>
  <c r="J23" i="72"/>
  <c r="AA23" i="72"/>
  <c r="H23" i="72"/>
  <c r="C23" i="72"/>
  <c r="Z1571" i="13"/>
  <c r="AX1467" i="13"/>
  <c r="A1566" i="13"/>
  <c r="AV1467" i="13"/>
  <c r="AY21" i="72" a="1"/>
  <c r="AY21" i="72" s="1"/>
  <c r="F200" i="15" a="1"/>
  <c r="F200" i="15" s="1"/>
  <c r="L19" i="72"/>
  <c r="R19" i="72"/>
  <c r="AI19" i="72"/>
  <c r="BN19" i="72" a="1"/>
  <c r="BN19" i="72" s="1"/>
  <c r="AN19" i="72"/>
  <c r="BD19" i="72"/>
  <c r="AP19" i="72" a="1"/>
  <c r="AP19" i="72" s="1"/>
  <c r="BG19" i="72"/>
  <c r="AV19" i="72" s="1" a="1"/>
  <c r="AV19" i="72" s="1"/>
  <c r="BT19" i="72"/>
  <c r="BM19" i="72" a="1"/>
  <c r="BM19" i="72" s="1"/>
  <c r="BC54" i="69"/>
  <c r="BH22" i="72"/>
  <c r="AH41" i="72"/>
  <c r="BO41" i="72"/>
  <c r="BR41" i="72" s="1"/>
  <c r="BE41" i="72"/>
  <c r="AG41" i="72" s="1" a="1"/>
  <c r="AG41" i="72" s="1"/>
  <c r="AJ41" i="72"/>
  <c r="BF41" i="72"/>
  <c r="AT11" i="69" a="1"/>
  <c r="AT11" i="69" s="1"/>
  <c r="L48" i="69"/>
  <c r="AK48" i="69" a="1"/>
  <c r="AK48" i="69" s="1"/>
  <c r="AY48" i="69"/>
  <c r="BB48" i="69"/>
  <c r="AQ48" i="69" s="1" a="1"/>
  <c r="AQ48" i="69" s="1"/>
  <c r="BO48" i="69"/>
  <c r="BI48" i="69" a="1"/>
  <c r="BI48" i="69" s="1"/>
  <c r="R48" i="69"/>
  <c r="BH48" i="69" a="1"/>
  <c r="BH48" i="69" s="1"/>
  <c r="Z1543" i="13"/>
  <c r="AV1439" i="13"/>
  <c r="AX1439" i="13"/>
  <c r="A1538" i="13"/>
  <c r="AU96" i="72" a="1"/>
  <c r="AU96" i="72" s="1"/>
  <c r="AZ96" i="72" a="1"/>
  <c r="AZ96" i="72" s="1"/>
  <c r="AF96" i="72" a="1"/>
  <c r="AF96" i="72" s="1"/>
  <c r="BA96" i="72" a="1"/>
  <c r="BA96" i="72" s="1"/>
  <c r="AQ96" i="72" a="1"/>
  <c r="AQ96" i="72" s="1"/>
  <c r="AO96" i="72" a="1"/>
  <c r="AO96" i="72" s="1"/>
  <c r="AL96" i="72" a="1"/>
  <c r="AL96" i="72" s="1"/>
  <c r="AW96" i="72" a="1"/>
  <c r="AW96" i="72" s="1"/>
  <c r="AX96" i="72" a="1"/>
  <c r="AX96" i="72" s="1"/>
  <c r="AH35" i="72"/>
  <c r="AQ22" i="4"/>
  <c r="AR22" i="4"/>
  <c r="AX1429" i="13"/>
  <c r="A1528" i="13"/>
  <c r="Z1533" i="13"/>
  <c r="AV1429" i="13"/>
  <c r="H43" i="69"/>
  <c r="AO43" i="69" a="1"/>
  <c r="AO43" i="69" s="1"/>
  <c r="BQ43" i="69"/>
  <c r="AM57" i="72"/>
  <c r="BL58" i="4"/>
  <c r="DV58" i="4"/>
  <c r="AV560" i="13"/>
  <c r="U56" i="69" a="1"/>
  <c r="U56" i="69" s="1"/>
  <c r="AZ56" i="69"/>
  <c r="BA56" i="69"/>
  <c r="K42" i="69" a="1"/>
  <c r="K42" i="69" s="1"/>
  <c r="BK42" i="69"/>
  <c r="BJ42" i="69" s="1"/>
  <c r="BM42" i="69" s="1"/>
  <c r="BO42" i="69"/>
  <c r="BH42" i="69" a="1"/>
  <c r="BH42" i="69" s="1"/>
  <c r="AK42" i="69" a="1"/>
  <c r="AK42" i="69" s="1"/>
  <c r="BI42" i="69" a="1"/>
  <c r="BI42" i="69" s="1"/>
  <c r="AY42" i="69"/>
  <c r="AJ42" i="69" s="1" a="1"/>
  <c r="AJ42" i="69" s="1"/>
  <c r="BB42" i="69"/>
  <c r="AQ42" i="69" s="1" a="1"/>
  <c r="AQ42" i="69" s="1"/>
  <c r="R42" i="69"/>
  <c r="AY26" i="72" a="1"/>
  <c r="AY26" i="72" s="1"/>
  <c r="BO59" i="72"/>
  <c r="BR59" i="72" s="1"/>
  <c r="AI52" i="72"/>
  <c r="BG52" i="72"/>
  <c r="AN52" i="72"/>
  <c r="R52" i="72"/>
  <c r="AK52" i="72"/>
  <c r="BT52" i="72"/>
  <c r="BD52" i="72"/>
  <c r="BM52" i="72" a="1"/>
  <c r="BM52" i="72" s="1"/>
  <c r="CA20" i="4"/>
  <c r="AU20" i="4"/>
  <c r="AV20" i="4" a="1"/>
  <c r="AV20" i="4" s="1"/>
  <c r="AT20" i="4" a="1"/>
  <c r="AT20" i="4" s="1"/>
  <c r="Y20" i="4"/>
  <c r="BQ20" i="4"/>
  <c r="Z1574" i="13"/>
  <c r="AX1470" i="13"/>
  <c r="A1569" i="13"/>
  <c r="U57" i="69" a="1"/>
  <c r="U57" i="69" s="1"/>
  <c r="BV84" i="72"/>
  <c r="AT84" i="72" a="1"/>
  <c r="AT84" i="72" s="1"/>
  <c r="AD91" i="72"/>
  <c r="L91" i="72"/>
  <c r="AI91" i="72"/>
  <c r="BG91" i="72"/>
  <c r="R91" i="72"/>
  <c r="BT91" i="72"/>
  <c r="BD91" i="72"/>
  <c r="BM91" i="72" a="1"/>
  <c r="BM91" i="72" s="1"/>
  <c r="AN91" i="72"/>
  <c r="AP91" i="72" a="1"/>
  <c r="AP91" i="72" s="1"/>
  <c r="BN91" i="72" a="1"/>
  <c r="BN91" i="72" s="1"/>
  <c r="AS32" i="69" a="1"/>
  <c r="AS32" i="69" s="1"/>
  <c r="AV32" i="69" a="1"/>
  <c r="AV32" i="69" s="1"/>
  <c r="AP32" i="69" a="1"/>
  <c r="AP32" i="69" s="1"/>
  <c r="AL32" i="69" a="1"/>
  <c r="AL32" i="69" s="1"/>
  <c r="AF32" i="69" a="1"/>
  <c r="AF32" i="69" s="1"/>
  <c r="AU32" i="69" a="1"/>
  <c r="AU32" i="69" s="1"/>
  <c r="AH32" i="69" a="1"/>
  <c r="AH32" i="69" s="1"/>
  <c r="BQ66" i="69"/>
  <c r="BK59" i="69"/>
  <c r="BJ59" i="69" s="1"/>
  <c r="BM59" i="69" s="1"/>
  <c r="AY59" i="69"/>
  <c r="R59" i="69"/>
  <c r="BO59" i="69"/>
  <c r="BH59" i="69" a="1"/>
  <c r="BH59" i="69" s="1"/>
  <c r="BB59" i="69"/>
  <c r="BV64" i="72"/>
  <c r="AT64" i="72" a="1"/>
  <c r="AT64" i="72" s="1"/>
  <c r="BA39" i="69"/>
  <c r="AZ39" i="69"/>
  <c r="AI39" i="69" s="1" a="1"/>
  <c r="AI39" i="69" s="1"/>
  <c r="O79" i="69"/>
  <c r="BL8" i="69" a="1"/>
  <c r="BL8" i="69" s="1"/>
  <c r="BB8" i="69"/>
  <c r="R8" i="69"/>
  <c r="BO8" i="69"/>
  <c r="BH8" i="69" a="1"/>
  <c r="BH8" i="69" s="1"/>
  <c r="AY8" i="69"/>
  <c r="DV56" i="4"/>
  <c r="AV558" i="13"/>
  <c r="BL56" i="4"/>
  <c r="BH56" i="4"/>
  <c r="CU97" i="4"/>
  <c r="M474" i="15" a="1"/>
  <c r="M474" i="15" s="1"/>
  <c r="AE81" i="72" a="1"/>
  <c r="AE81" i="72" s="1"/>
  <c r="AP81" i="72" s="1" a="1"/>
  <c r="AP81" i="72" s="1"/>
  <c r="AM81" i="72"/>
  <c r="U81" i="72" a="1"/>
  <c r="U81" i="72" s="1"/>
  <c r="BS65" i="72"/>
  <c r="BI12" i="72"/>
  <c r="AD91" i="69"/>
  <c r="BQ91" i="69"/>
  <c r="AO91" i="69" a="1"/>
  <c r="AO91" i="69" s="1"/>
  <c r="H33" i="69"/>
  <c r="AH39" i="72"/>
  <c r="BL71" i="69" a="1"/>
  <c r="BL71" i="69" s="1"/>
  <c r="BB71" i="69"/>
  <c r="AR71" i="69" s="1" a="1"/>
  <c r="AR71" i="69" s="1"/>
  <c r="BH71" i="69" a="1"/>
  <c r="BH71" i="69" s="1"/>
  <c r="AY71" i="69"/>
  <c r="BO71" i="69"/>
  <c r="R71" i="69"/>
  <c r="BI71" i="69" a="1"/>
  <c r="BI71" i="69" s="1"/>
  <c r="BC52" i="69"/>
  <c r="BQ52" i="69"/>
  <c r="AO52" i="69" a="1"/>
  <c r="AO52" i="69" s="1"/>
  <c r="BR12" i="4"/>
  <c r="AD12" i="69" s="1"/>
  <c r="BT71" i="4"/>
  <c r="BD71" i="4"/>
  <c r="X71" i="4" s="1"/>
  <c r="AE81" i="69" a="1"/>
  <c r="AE81" i="69" s="1"/>
  <c r="AK81" i="69" s="1" a="1"/>
  <c r="AK81" i="69" s="1"/>
  <c r="BH93" i="69" a="1"/>
  <c r="BH93" i="69" s="1"/>
  <c r="BO93" i="69"/>
  <c r="AY93" i="69"/>
  <c r="R93" i="69"/>
  <c r="BB93" i="69"/>
  <c r="AQ93" i="69" s="1" a="1"/>
  <c r="AQ93" i="69" s="1"/>
  <c r="BI93" i="69" a="1"/>
  <c r="BI93" i="69" s="1"/>
  <c r="BK12" i="69"/>
  <c r="BJ12" i="69" s="1"/>
  <c r="BM12" i="69" s="1"/>
  <c r="AK12" i="69" a="1"/>
  <c r="AK12" i="69" s="1"/>
  <c r="BH12" i="69" a="1"/>
  <c r="BH12" i="69" s="1"/>
  <c r="BO12" i="69"/>
  <c r="BB12" i="69"/>
  <c r="AQ12" i="69" s="1" a="1"/>
  <c r="AQ12" i="69" s="1"/>
  <c r="BI12" i="69" a="1"/>
  <c r="BI12" i="69" s="1"/>
  <c r="AY12" i="69"/>
  <c r="R12" i="69"/>
  <c r="BQ78" i="69"/>
  <c r="AO78" i="69" a="1"/>
  <c r="AO78" i="69" s="1"/>
  <c r="BC30" i="69"/>
  <c r="BA30" i="69"/>
  <c r="AZ30" i="69"/>
  <c r="AI30" i="69" s="1" a="1"/>
  <c r="AI30" i="69" s="1"/>
  <c r="BP72" i="72"/>
  <c r="BO72" i="72" s="1"/>
  <c r="BR72" i="72" s="1"/>
  <c r="BM72" i="72" a="1"/>
  <c r="BM72" i="72" s="1"/>
  <c r="BT72" i="72"/>
  <c r="BD72" i="72"/>
  <c r="R72" i="72"/>
  <c r="BG72" i="72"/>
  <c r="AK72" i="72"/>
  <c r="AN72" i="72"/>
  <c r="BI72" i="72"/>
  <c r="AE44" i="69" a="1"/>
  <c r="AE44" i="69" s="1"/>
  <c r="BI44" i="69" s="1" a="1"/>
  <c r="BI44" i="69" s="1"/>
  <c r="BA44" i="69"/>
  <c r="AZ44" i="69"/>
  <c r="BK26" i="69"/>
  <c r="R26" i="69"/>
  <c r="BO26" i="69"/>
  <c r="BH26" i="69" a="1"/>
  <c r="BH26" i="69" s="1"/>
  <c r="AY26" i="69"/>
  <c r="AJ26" i="69" s="1" a="1"/>
  <c r="AJ26" i="69" s="1"/>
  <c r="BI26" i="69" a="1"/>
  <c r="BI26" i="69" s="1"/>
  <c r="BB26" i="69"/>
  <c r="AR26" i="69" s="1" a="1"/>
  <c r="AR26" i="69" s="1"/>
  <c r="AK26" i="69" a="1"/>
  <c r="AK26" i="69" s="1"/>
  <c r="AR19" i="4"/>
  <c r="AQ19" i="4"/>
  <c r="BH96" i="4"/>
  <c r="BT96" i="4"/>
  <c r="BD96" i="4"/>
  <c r="X96" i="4" s="1"/>
  <c r="AV1428" i="13"/>
  <c r="AX1428" i="13"/>
  <c r="Z1532" i="13"/>
  <c r="A1527" i="13"/>
  <c r="K47" i="69" a="1"/>
  <c r="K47" i="69" s="1"/>
  <c r="BD47" i="69"/>
  <c r="AY13" i="72" a="1"/>
  <c r="AY13" i="72" s="1"/>
  <c r="AJ13" i="72"/>
  <c r="BE13" i="72"/>
  <c r="AK13" i="72" s="1"/>
  <c r="BF13" i="72"/>
  <c r="AE90" i="69" a="1"/>
  <c r="AE90" i="69" s="1"/>
  <c r="AO90" i="69" s="1" a="1"/>
  <c r="AO90" i="69" s="1"/>
  <c r="O25" i="72"/>
  <c r="BV25" i="72"/>
  <c r="AT25" i="72" a="1"/>
  <c r="AT25" i="72" s="1"/>
  <c r="BH30" i="72"/>
  <c r="AI75" i="72"/>
  <c r="AM75" i="72"/>
  <c r="F210" i="15" a="1"/>
  <c r="F210" i="15" s="1"/>
  <c r="AY67" i="72" a="1"/>
  <c r="AY67" i="72" s="1"/>
  <c r="BV67" i="72"/>
  <c r="AD79" i="72"/>
  <c r="BE79" i="72"/>
  <c r="AK79" i="72" s="1"/>
  <c r="AJ79" i="72"/>
  <c r="BF79" i="72"/>
  <c r="AY36" i="72" a="1"/>
  <c r="AY36" i="72" s="1"/>
  <c r="AD44" i="72"/>
  <c r="E44" i="72"/>
  <c r="AE36" i="69" a="1"/>
  <c r="AE36" i="69" s="1"/>
  <c r="E36" i="69"/>
  <c r="E56" i="72"/>
  <c r="BH93" i="4"/>
  <c r="DV93" i="4"/>
  <c r="AV595" i="13"/>
  <c r="BL93" i="4"/>
  <c r="I94" i="72"/>
  <c r="I94" i="69"/>
  <c r="AX1463" i="13"/>
  <c r="A1562" i="13"/>
  <c r="Z1567" i="13"/>
  <c r="B94" i="72"/>
  <c r="E69" i="69"/>
  <c r="AE47" i="72" a="1"/>
  <c r="AE47" i="72" s="1"/>
  <c r="AD13" i="69"/>
  <c r="BI70" i="72"/>
  <c r="BQ50" i="72" a="1"/>
  <c r="BQ50" i="72" s="1"/>
  <c r="AO75" i="69" a="1"/>
  <c r="AO75" i="69" s="1"/>
  <c r="AH75" i="69" a="1"/>
  <c r="AH75" i="69" s="1"/>
  <c r="AV75" i="69" a="1"/>
  <c r="AV75" i="69" s="1"/>
  <c r="AU75" i="69" a="1"/>
  <c r="AU75" i="69" s="1"/>
  <c r="AP75" i="69" a="1"/>
  <c r="AP75" i="69" s="1"/>
  <c r="AL75" i="69" a="1"/>
  <c r="AL75" i="69" s="1"/>
  <c r="AF75" i="69" a="1"/>
  <c r="AF75" i="69" s="1"/>
  <c r="AH53" i="72"/>
  <c r="E16" i="69"/>
  <c r="AO70" i="69" a="1"/>
  <c r="AO70" i="69" s="1"/>
  <c r="BQ70" i="69"/>
  <c r="B70" i="69"/>
  <c r="BQ50" i="69"/>
  <c r="AJ80" i="69" a="1"/>
  <c r="AJ80" i="69" s="1"/>
  <c r="AF80" i="69" a="1"/>
  <c r="AF80" i="69" s="1"/>
  <c r="AH80" i="69" a="1"/>
  <c r="AH80" i="69" s="1"/>
  <c r="AU80" i="69" a="1"/>
  <c r="AU80" i="69" s="1"/>
  <c r="AP80" i="69" a="1"/>
  <c r="AP80" i="69" s="1"/>
  <c r="AL80" i="69" a="1"/>
  <c r="AL80" i="69" s="1"/>
  <c r="AV80" i="69" a="1"/>
  <c r="AV80" i="69" s="1"/>
  <c r="AL61" i="69" a="1"/>
  <c r="AL61" i="69" s="1"/>
  <c r="AF61" i="69" a="1"/>
  <c r="AF61" i="69" s="1"/>
  <c r="AH61" i="69" a="1"/>
  <c r="AH61" i="69" s="1"/>
  <c r="AU61" i="69" a="1"/>
  <c r="AU61" i="69" s="1"/>
  <c r="AV61" i="69" a="1"/>
  <c r="AV61" i="69" s="1"/>
  <c r="AP61" i="69" a="1"/>
  <c r="AP61" i="69" s="1"/>
  <c r="BL61" i="69" a="1"/>
  <c r="BL61" i="69" s="1"/>
  <c r="BO61" i="69"/>
  <c r="AK61" i="69" a="1"/>
  <c r="AK61" i="69" s="1"/>
  <c r="AY61" i="69"/>
  <c r="BH61" i="69" a="1"/>
  <c r="BH61" i="69" s="1"/>
  <c r="BB61" i="69"/>
  <c r="AQ61" i="69" s="1" a="1"/>
  <c r="AQ61" i="69" s="1"/>
  <c r="BI61" i="69" a="1"/>
  <c r="BI61" i="69" s="1"/>
  <c r="R61" i="69"/>
  <c r="AJ61" i="69" s="1" a="1"/>
  <c r="AJ61" i="69" s="1"/>
  <c r="H208" i="15" a="1"/>
  <c r="H208" i="15" s="1"/>
  <c r="AQ58" i="69" a="1"/>
  <c r="AQ58" i="69" s="1"/>
  <c r="AR68" i="4"/>
  <c r="AQ68" i="4"/>
  <c r="BG72" i="4"/>
  <c r="AV1170" i="13" s="1"/>
  <c r="L72" i="4"/>
  <c r="BF64" i="4"/>
  <c r="BF94" i="4"/>
  <c r="BG88" i="4"/>
  <c r="AV1186" i="13" s="1"/>
  <c r="L88" i="4"/>
  <c r="BG74" i="4"/>
  <c r="AV1172" i="13" s="1"/>
  <c r="X74" i="4"/>
  <c r="L74" i="4"/>
  <c r="BF82" i="4"/>
  <c r="BF46" i="72"/>
  <c r="BE46" i="72"/>
  <c r="AJ46" i="72"/>
  <c r="AM86" i="72"/>
  <c r="AY88" i="69"/>
  <c r="AK88" i="69" a="1"/>
  <c r="AK88" i="69" s="1"/>
  <c r="BH88" i="69" a="1"/>
  <c r="BH88" i="69" s="1"/>
  <c r="R88" i="69"/>
  <c r="BI88" i="69" a="1"/>
  <c r="BI88" i="69" s="1"/>
  <c r="BO88" i="69"/>
  <c r="BB88" i="69"/>
  <c r="AQ88" i="69" s="1" a="1"/>
  <c r="AQ88" i="69" s="1"/>
  <c r="BM50" i="4"/>
  <c r="BE50" i="4" s="1" a="1"/>
  <c r="BE50" i="4" s="1"/>
  <c r="BU107" i="4"/>
  <c r="BU106" i="4"/>
  <c r="BU104" i="4"/>
  <c r="Z1748" i="13" s="1"/>
  <c r="BH88" i="4"/>
  <c r="BL88" i="4"/>
  <c r="DV88" i="4"/>
  <c r="AV590" i="13"/>
  <c r="AD6" i="69"/>
  <c r="BM6" i="4"/>
  <c r="AD15" i="69"/>
  <c r="AT87" i="69" a="1"/>
  <c r="AT87" i="69" s="1"/>
  <c r="BQ53" i="69"/>
  <c r="AO53" i="69" a="1"/>
  <c r="AO53" i="69" s="1"/>
  <c r="AM27" i="72"/>
  <c r="AO62" i="69" a="1"/>
  <c r="AO62" i="69" s="1"/>
  <c r="BQ62" i="69"/>
  <c r="L68" i="72"/>
  <c r="R68" i="72"/>
  <c r="AO68" i="72" s="1" a="1"/>
  <c r="AO68" i="72" s="1"/>
  <c r="BG68" i="72"/>
  <c r="AW68" i="72" s="1" a="1"/>
  <c r="AW68" i="72" s="1"/>
  <c r="AP68" i="72" a="1"/>
  <c r="AP68" i="72" s="1"/>
  <c r="AN68" i="72"/>
  <c r="BM68" i="72" a="1"/>
  <c r="BM68" i="72" s="1"/>
  <c r="BN68" i="72" a="1"/>
  <c r="BN68" i="72" s="1"/>
  <c r="BT68" i="72"/>
  <c r="BD68" i="72"/>
  <c r="AX1402" i="13"/>
  <c r="Z1506" i="13"/>
  <c r="AV1402" i="13"/>
  <c r="A1501" i="13"/>
  <c r="AX7" i="72" a="1"/>
  <c r="AX7" i="72" s="1"/>
  <c r="AZ7" i="72" a="1"/>
  <c r="AZ7" i="72" s="1"/>
  <c r="AU7" i="72" a="1"/>
  <c r="AU7" i="72" s="1"/>
  <c r="AL7" i="72" a="1"/>
  <c r="AL7" i="72" s="1"/>
  <c r="BA7" i="72" a="1"/>
  <c r="BA7" i="72" s="1"/>
  <c r="AF7" i="72" a="1"/>
  <c r="AF7" i="72" s="1"/>
  <c r="AQ7" i="72" a="1"/>
  <c r="AQ7" i="72" s="1"/>
  <c r="AO7" i="72" a="1"/>
  <c r="AO7" i="72" s="1"/>
  <c r="AW7" i="72" a="1"/>
  <c r="AW7" i="72" s="1"/>
  <c r="E49" i="69"/>
  <c r="C34" i="72"/>
  <c r="D34" i="72" s="1" a="1"/>
  <c r="D34" i="72" s="1"/>
  <c r="BH70" i="4"/>
  <c r="AR7" i="4"/>
  <c r="AQ7" i="4"/>
  <c r="BA14" i="69"/>
  <c r="AZ14" i="69"/>
  <c r="AO18" i="69" a="1"/>
  <c r="AO18" i="69" s="1"/>
  <c r="BQ18" i="69"/>
  <c r="AQ18" i="4"/>
  <c r="AR18" i="4"/>
  <c r="AX1426" i="13"/>
  <c r="A1525" i="13"/>
  <c r="Z1530" i="13"/>
  <c r="AV1426" i="13"/>
  <c r="E3" i="1" a="1"/>
  <c r="AX14" i="72" a="1"/>
  <c r="AX14" i="72" s="1"/>
  <c r="AF14" i="72" a="1"/>
  <c r="AF14" i="72" s="1"/>
  <c r="AQ14" i="72" a="1"/>
  <c r="AQ14" i="72" s="1"/>
  <c r="AL14" i="72" a="1"/>
  <c r="AL14" i="72" s="1"/>
  <c r="BA14" i="72" a="1"/>
  <c r="BA14" i="72" s="1"/>
  <c r="AW14" i="72" a="1"/>
  <c r="AW14" i="72" s="1"/>
  <c r="AO14" i="72" a="1"/>
  <c r="AO14" i="72" s="1"/>
  <c r="AZ14" i="72" a="1"/>
  <c r="AZ14" i="72" s="1"/>
  <c r="AU14" i="72" a="1"/>
  <c r="AU14" i="72" s="1"/>
  <c r="BK21" i="69"/>
  <c r="BJ21" i="69" s="1"/>
  <c r="BM21" i="69" s="1"/>
  <c r="BB21" i="69"/>
  <c r="BH21" i="69" a="1"/>
  <c r="BH21" i="69" s="1"/>
  <c r="BO21" i="69"/>
  <c r="AY21" i="69"/>
  <c r="R21" i="69"/>
  <c r="BI21" i="69" a="1"/>
  <c r="BI21" i="69" s="1"/>
  <c r="AK21" i="69" a="1"/>
  <c r="AK21" i="69" s="1"/>
  <c r="BQ63" i="72" a="1"/>
  <c r="BQ63" i="72" s="1"/>
  <c r="BT63" i="72"/>
  <c r="BD63" i="72"/>
  <c r="BN63" i="72" a="1"/>
  <c r="BN63" i="72" s="1"/>
  <c r="AI63" i="72"/>
  <c r="BG63" i="72"/>
  <c r="AW63" i="72" s="1" a="1"/>
  <c r="AW63" i="72" s="1"/>
  <c r="AP63" i="72" a="1"/>
  <c r="AP63" i="72" s="1"/>
  <c r="AN63" i="72"/>
  <c r="BM63" i="72" a="1"/>
  <c r="BM63" i="72" s="1"/>
  <c r="R63" i="72"/>
  <c r="BV63" i="72"/>
  <c r="AT63" i="72" a="1"/>
  <c r="AT63" i="72" s="1"/>
  <c r="R49" i="72"/>
  <c r="BM49" i="72" a="1"/>
  <c r="BM49" i="72" s="1"/>
  <c r="BD49" i="72"/>
  <c r="BG49" i="72"/>
  <c r="BT49" i="72"/>
  <c r="AI49" i="72"/>
  <c r="AN49" i="72"/>
  <c r="BQ83" i="69"/>
  <c r="AO83" i="69" a="1"/>
  <c r="AO83" i="69" s="1"/>
  <c r="D5" i="69" a="1"/>
  <c r="D5" i="69" s="1"/>
  <c r="E5" i="69"/>
  <c r="B5" i="69"/>
  <c r="AO41" i="69" a="1"/>
  <c r="AO41" i="69" s="1"/>
  <c r="BQ41" i="69"/>
  <c r="BV11" i="72"/>
  <c r="AU34" i="69" a="1"/>
  <c r="AU34" i="69" s="1"/>
  <c r="AH34" i="69" a="1"/>
  <c r="AH34" i="69" s="1"/>
  <c r="AL34" i="69" a="1"/>
  <c r="AL34" i="69" s="1"/>
  <c r="AF34" i="69" a="1"/>
  <c r="AF34" i="69" s="1"/>
  <c r="AP34" i="69" a="1"/>
  <c r="AP34" i="69" s="1"/>
  <c r="AV34" i="69" a="1"/>
  <c r="AV34" i="69" s="1"/>
  <c r="AE48" i="72" a="1"/>
  <c r="AE48" i="72" s="1"/>
  <c r="AT48" i="72" s="1" a="1"/>
  <c r="AT48" i="72" s="1"/>
  <c r="AM48" i="72"/>
  <c r="BQ6" i="72" a="1"/>
  <c r="BQ6" i="72" s="1"/>
  <c r="BG6" i="72"/>
  <c r="AW6" i="72" s="1" a="1"/>
  <c r="AW6" i="72" s="1"/>
  <c r="AN6" i="72"/>
  <c r="R6" i="72"/>
  <c r="BT6" i="72"/>
  <c r="BM6" i="72" a="1"/>
  <c r="BM6" i="72" s="1"/>
  <c r="AK6" i="72"/>
  <c r="AI6" i="72"/>
  <c r="BD6" i="72"/>
  <c r="AP6" i="72" a="1"/>
  <c r="AP6" i="72" s="1"/>
  <c r="BC45" i="69"/>
  <c r="BD54" i="69"/>
  <c r="BV22" i="72"/>
  <c r="AX1469" i="13"/>
  <c r="A1568" i="13"/>
  <c r="Z1573" i="13"/>
  <c r="BL48" i="69" a="1"/>
  <c r="BL48" i="69" s="1"/>
  <c r="BT75" i="4"/>
  <c r="BD75" i="4"/>
  <c r="BD73" i="4"/>
  <c r="BR73" i="4" s="1"/>
  <c r="AR34" i="4"/>
  <c r="AQ34" i="4"/>
  <c r="Z1537" i="13"/>
  <c r="AX1433" i="13"/>
  <c r="A1532" i="13"/>
  <c r="AV1433" i="13"/>
  <c r="BP57" i="72"/>
  <c r="BO57" i="72" s="1"/>
  <c r="BR57" i="72" s="1"/>
  <c r="BV57" i="72"/>
  <c r="BE57" i="72"/>
  <c r="BF57" i="72"/>
  <c r="AJ57" i="72"/>
  <c r="BQ84" i="69"/>
  <c r="AO84" i="69" a="1"/>
  <c r="AO84" i="69" s="1"/>
  <c r="AV1255" i="13"/>
  <c r="S58" i="72"/>
  <c r="AI58" i="72" s="1"/>
  <c r="B58" i="69"/>
  <c r="S58" i="69"/>
  <c r="B58" i="72"/>
  <c r="BV26" i="72"/>
  <c r="BD62" i="4"/>
  <c r="X62" i="4" s="1"/>
  <c r="BF52" i="72"/>
  <c r="AJ52" i="72"/>
  <c r="BE52" i="72"/>
  <c r="AQ13" i="4"/>
  <c r="AR13" i="4"/>
  <c r="AQ46" i="4"/>
  <c r="AR46" i="4"/>
  <c r="A1572" i="13"/>
  <c r="AV1473" i="13"/>
  <c r="AX1473" i="13"/>
  <c r="Z1577" i="13"/>
  <c r="AQ47" i="4"/>
  <c r="AR47" i="4"/>
  <c r="F59" i="69"/>
  <c r="F59" i="72"/>
  <c r="K31" i="69" a="1"/>
  <c r="K31" i="69" s="1"/>
  <c r="AD31" i="69"/>
  <c r="BQ84" i="72" a="1"/>
  <c r="BQ84" i="72" s="1"/>
  <c r="R84" i="72"/>
  <c r="BM84" i="72" a="1"/>
  <c r="BM84" i="72" s="1"/>
  <c r="AI84" i="72"/>
  <c r="BG84" i="72"/>
  <c r="AW84" i="72" s="1" a="1"/>
  <c r="AW84" i="72" s="1"/>
  <c r="AN84" i="72"/>
  <c r="BD84" i="72"/>
  <c r="BT84" i="72"/>
  <c r="BN84" i="72" a="1"/>
  <c r="BN84" i="72" s="1"/>
  <c r="AP84" i="72" a="1"/>
  <c r="AP84" i="72" s="1"/>
  <c r="BH91" i="72"/>
  <c r="D32" i="69" a="1"/>
  <c r="D32" i="69" s="1"/>
  <c r="BL66" i="69" a="1"/>
  <c r="BL66" i="69" s="1"/>
  <c r="BO66" i="69"/>
  <c r="AY66" i="69"/>
  <c r="BB66" i="69"/>
  <c r="R66" i="69"/>
  <c r="BH66" i="69" a="1"/>
  <c r="BH66" i="69" s="1"/>
  <c r="E66" i="69"/>
  <c r="K38" i="72" a="1"/>
  <c r="K38" i="72" s="1"/>
  <c r="BP38" i="72"/>
  <c r="BO38" i="72" s="1"/>
  <c r="BR38" i="72" s="1"/>
  <c r="AI38" i="72"/>
  <c r="BM38" i="72" a="1"/>
  <c r="BM38" i="72" s="1"/>
  <c r="AN38" i="72"/>
  <c r="R38" i="72"/>
  <c r="BD38" i="72"/>
  <c r="BT38" i="72"/>
  <c r="BG38" i="72"/>
  <c r="BL59" i="69" a="1"/>
  <c r="BL59" i="69" s="1"/>
  <c r="AY64" i="72" a="1"/>
  <c r="AY64" i="72" s="1"/>
  <c r="AJ64" i="72"/>
  <c r="BF64" i="72"/>
  <c r="BE64" i="72"/>
  <c r="AK64" i="72" s="1"/>
  <c r="R74" i="69"/>
  <c r="BO74" i="69"/>
  <c r="BH74" i="69" a="1"/>
  <c r="BH74" i="69" s="1"/>
  <c r="BB74" i="69"/>
  <c r="AY74" i="69"/>
  <c r="AE24" i="72" a="1"/>
  <c r="AE24" i="72" s="1"/>
  <c r="AP24" i="72" s="1" a="1"/>
  <c r="AP24" i="72" s="1"/>
  <c r="AD24" i="72"/>
  <c r="BK24" i="69"/>
  <c r="BJ24" i="69" s="1"/>
  <c r="BM24" i="69" s="1"/>
  <c r="BO24" i="69"/>
  <c r="R24" i="69"/>
  <c r="AY24" i="69"/>
  <c r="AJ24" i="69" s="1" a="1"/>
  <c r="AJ24" i="69" s="1"/>
  <c r="BH24" i="69" a="1"/>
  <c r="BH24" i="69" s="1"/>
  <c r="AK24" i="69" a="1"/>
  <c r="AK24" i="69" s="1"/>
  <c r="BI24" i="69" a="1"/>
  <c r="BI24" i="69" s="1"/>
  <c r="BB24" i="69"/>
  <c r="AQ24" i="69" s="1" a="1"/>
  <c r="AQ24" i="69" s="1"/>
  <c r="E24" i="69"/>
  <c r="BK8" i="69"/>
  <c r="BJ8" i="69" s="1"/>
  <c r="BM8" i="69" s="1"/>
  <c r="AR36" i="4"/>
  <c r="AQ36" i="4"/>
  <c r="AY81" i="72" a="1"/>
  <c r="AY81" i="72" s="1"/>
  <c r="BE81" i="72"/>
  <c r="AK81" i="72" s="1"/>
  <c r="AJ81" i="72"/>
  <c r="BF81" i="72"/>
  <c r="F69" i="69"/>
  <c r="F69" i="72"/>
  <c r="BI65" i="72"/>
  <c r="AH12" i="72"/>
  <c r="H70" i="15" a="1"/>
  <c r="H70" i="15" s="1"/>
  <c r="AS91" i="69" a="1"/>
  <c r="AS91" i="69" s="1"/>
  <c r="AH91" i="69" a="1"/>
  <c r="AH91" i="69" s="1"/>
  <c r="AJ91" i="69" a="1"/>
  <c r="AJ91" i="69" s="1"/>
  <c r="AF91" i="69" a="1"/>
  <c r="AF91" i="69" s="1"/>
  <c r="AV91" i="69" a="1"/>
  <c r="AV91" i="69" s="1"/>
  <c r="AP91" i="69" a="1"/>
  <c r="AP91" i="69" s="1"/>
  <c r="AR91" i="69" a="1"/>
  <c r="AR91" i="69" s="1"/>
  <c r="AL91" i="69" a="1"/>
  <c r="AL91" i="69" s="1"/>
  <c r="AU91" i="69" a="1"/>
  <c r="AU91" i="69" s="1"/>
  <c r="BA91" i="69"/>
  <c r="AZ91" i="69"/>
  <c r="AI91" i="69" s="1" a="1"/>
  <c r="AI91" i="69" s="1"/>
  <c r="AH32" i="72"/>
  <c r="BO29" i="72"/>
  <c r="BR29" i="72" s="1"/>
  <c r="BE29" i="72"/>
  <c r="AK29" i="72" s="1"/>
  <c r="BF29" i="72"/>
  <c r="AJ29" i="72"/>
  <c r="AM29" i="72"/>
  <c r="Z1514" i="13"/>
  <c r="AX1410" i="13"/>
  <c r="AV1410" i="13"/>
  <c r="A1509" i="13"/>
  <c r="AX39" i="72" a="1"/>
  <c r="AX39" i="72" s="1"/>
  <c r="AZ39" i="72" a="1"/>
  <c r="AZ39" i="72" s="1"/>
  <c r="BA39" i="72" a="1"/>
  <c r="BA39" i="72" s="1"/>
  <c r="AQ39" i="72" a="1"/>
  <c r="AQ39" i="72" s="1"/>
  <c r="AF39" i="72" a="1"/>
  <c r="AF39" i="72" s="1"/>
  <c r="AL39" i="72" a="1"/>
  <c r="AL39" i="72" s="1"/>
  <c r="AO39" i="72" a="1"/>
  <c r="AO39" i="72" s="1"/>
  <c r="AU39" i="72" a="1"/>
  <c r="AU39" i="72" s="1"/>
  <c r="BD1767" i="13" a="1"/>
  <c r="BD1767" i="13" s="1"/>
  <c r="AT71" i="72" a="1"/>
  <c r="AT71" i="72" s="1"/>
  <c r="BA71" i="72" a="1"/>
  <c r="BA71" i="72" s="1"/>
  <c r="AL71" i="72" a="1"/>
  <c r="AL71" i="72" s="1"/>
  <c r="AU71" i="72" a="1"/>
  <c r="AU71" i="72" s="1"/>
  <c r="AQ71" i="72" a="1"/>
  <c r="AQ71" i="72" s="1"/>
  <c r="AF71" i="72" a="1"/>
  <c r="AF71" i="72" s="1"/>
  <c r="AZ71" i="72" a="1"/>
  <c r="AZ71" i="72" s="1"/>
  <c r="AO71" i="72" a="1"/>
  <c r="AO71" i="72" s="1"/>
  <c r="BV74" i="72"/>
  <c r="AD42" i="72"/>
  <c r="L52" i="69"/>
  <c r="D32" i="72" a="1"/>
  <c r="D32" i="72" s="1"/>
  <c r="F71" i="69"/>
  <c r="F71" i="72"/>
  <c r="A1519" i="13"/>
  <c r="AV1420" i="13"/>
  <c r="Z1524" i="13"/>
  <c r="AX1420" i="13"/>
  <c r="U81" i="69" a="1"/>
  <c r="U81" i="69" s="1"/>
  <c r="BD65" i="69"/>
  <c r="E78" i="69"/>
  <c r="E72" i="72"/>
  <c r="F62" i="69"/>
  <c r="F62" i="72"/>
  <c r="BL44" i="69" a="1"/>
  <c r="BL44" i="69" s="1"/>
  <c r="R44" i="69"/>
  <c r="BB44" i="69"/>
  <c r="BH44" i="69" a="1"/>
  <c r="BH44" i="69" s="1"/>
  <c r="BO44" i="69"/>
  <c r="AY44" i="69"/>
  <c r="AQ49" i="4"/>
  <c r="AR49" i="4"/>
  <c r="AR84" i="4"/>
  <c r="AQ84" i="4"/>
  <c r="AY69" i="72" a="1"/>
  <c r="AY69" i="72" s="1"/>
  <c r="U69" i="72" a="1"/>
  <c r="U69" i="72" s="1"/>
  <c r="AP73" i="72" a="1"/>
  <c r="AP73" i="72" s="1"/>
  <c r="BT73" i="72"/>
  <c r="BN73" i="72" a="1"/>
  <c r="BN73" i="72" s="1"/>
  <c r="AK73" i="72"/>
  <c r="AN73" i="72"/>
  <c r="BM73" i="72" a="1"/>
  <c r="BM73" i="72" s="1"/>
  <c r="BG73" i="72"/>
  <c r="AW73" i="72" s="1" a="1"/>
  <c r="AW73" i="72" s="1"/>
  <c r="BD73" i="72"/>
  <c r="R73" i="72"/>
  <c r="AI73" i="72"/>
  <c r="O47" i="69"/>
  <c r="BS13" i="72"/>
  <c r="O13" i="72"/>
  <c r="E78" i="72"/>
  <c r="BS30" i="72"/>
  <c r="AS72" i="69" a="1"/>
  <c r="AS72" i="69" s="1"/>
  <c r="AJ72" i="69" a="1"/>
  <c r="AJ72" i="69" s="1"/>
  <c r="AH72" i="69" a="1"/>
  <c r="AH72" i="69" s="1"/>
  <c r="AV72" i="69" a="1"/>
  <c r="AV72" i="69" s="1"/>
  <c r="AU72" i="69" a="1"/>
  <c r="AU72" i="69" s="1"/>
  <c r="AR72" i="69" a="1"/>
  <c r="AR72" i="69" s="1"/>
  <c r="AP72" i="69" a="1"/>
  <c r="AP72" i="69" s="1"/>
  <c r="AL72" i="69" a="1"/>
  <c r="AL72" i="69" s="1"/>
  <c r="AF72" i="69" a="1"/>
  <c r="AF72" i="69" s="1"/>
  <c r="H210" i="15" a="1"/>
  <c r="H210" i="15" s="1"/>
  <c r="BH67" i="72"/>
  <c r="BQ67" i="72" a="1"/>
  <c r="BQ67" i="72" s="1"/>
  <c r="AI67" i="72"/>
  <c r="R67" i="72"/>
  <c r="BD67" i="72"/>
  <c r="BT67" i="72"/>
  <c r="BG67" i="72"/>
  <c r="AK67" i="72"/>
  <c r="BM67" i="72" a="1"/>
  <c r="BM67" i="72" s="1"/>
  <c r="AN67" i="72"/>
  <c r="E36" i="72"/>
  <c r="BH44" i="72"/>
  <c r="AD28" i="72"/>
  <c r="AY77" i="72" a="1"/>
  <c r="AY77" i="72" s="1"/>
  <c r="AX1477" i="13"/>
  <c r="Z1581" i="13"/>
  <c r="A1576" i="13"/>
  <c r="AV1477" i="13"/>
  <c r="B69" i="69"/>
  <c r="BA73" i="69"/>
  <c r="AZ73" i="69"/>
  <c r="S70" i="72"/>
  <c r="K50" i="72" a="1"/>
  <c r="K50" i="72" s="1"/>
  <c r="AT67" i="69" a="1"/>
  <c r="AT67" i="69" s="1"/>
  <c r="AZ67" i="69"/>
  <c r="AG67" i="69" s="1" a="1"/>
  <c r="AG67" i="69" s="1"/>
  <c r="BA67" i="69"/>
  <c r="AE82" i="72" a="1"/>
  <c r="AE82" i="72" s="1"/>
  <c r="AD53" i="72"/>
  <c r="AZ16" i="69"/>
  <c r="BA16" i="69"/>
  <c r="BK61" i="69"/>
  <c r="BJ61" i="69" s="1"/>
  <c r="BM61" i="69" s="1"/>
  <c r="AH76" i="72"/>
  <c r="AR95" i="69" a="1"/>
  <c r="AR95" i="69" s="1"/>
  <c r="BF66" i="4"/>
  <c r="BG86" i="4"/>
  <c r="AV1184" i="13" s="1"/>
  <c r="BR86" i="4"/>
  <c r="L86" i="4"/>
  <c r="BG60" i="4"/>
  <c r="AV1158" i="13" s="1"/>
  <c r="BR60" i="4"/>
  <c r="BF60" i="69" s="1"/>
  <c r="X60" i="4"/>
  <c r="BG85" i="4"/>
  <c r="AV1183" i="13" s="1"/>
  <c r="L85" i="4"/>
  <c r="BG77" i="4"/>
  <c r="AV1175" i="13" s="1"/>
  <c r="L77" i="4"/>
  <c r="BF76" i="4"/>
  <c r="BG83" i="4"/>
  <c r="AV1181" i="13" s="1"/>
  <c r="L83" i="4"/>
  <c r="CY83" i="4" s="1"/>
  <c r="CZ83" i="4" s="1"/>
  <c r="BF88" i="4"/>
  <c r="AL55" i="4"/>
  <c r="AL97" i="4" s="1"/>
  <c r="I61" i="72"/>
  <c r="I61" i="69"/>
  <c r="BA49" i="69"/>
  <c r="AZ49" i="69"/>
  <c r="AI49" i="69" s="1" a="1"/>
  <c r="AI49" i="69" s="1"/>
  <c r="X32" i="4"/>
  <c r="AR72" i="4"/>
  <c r="AQ72" i="4"/>
  <c r="BL14" i="69" a="1"/>
  <c r="BL14" i="69" s="1"/>
  <c r="BB14" i="69"/>
  <c r="BO14" i="69"/>
  <c r="BH14" i="69" a="1"/>
  <c r="BH14" i="69" s="1"/>
  <c r="AY14" i="69"/>
  <c r="R14" i="69"/>
  <c r="BQ14" i="69"/>
  <c r="BT67" i="4"/>
  <c r="BD67" i="4"/>
  <c r="X67" i="4" s="1"/>
  <c r="AP40" i="69" a="1"/>
  <c r="AP40" i="69" s="1"/>
  <c r="AU40" i="69" a="1"/>
  <c r="AU40" i="69" s="1"/>
  <c r="AV40" i="69" a="1"/>
  <c r="AV40" i="69" s="1"/>
  <c r="AF40" i="69" a="1"/>
  <c r="AF40" i="69" s="1"/>
  <c r="AL40" i="69" a="1"/>
  <c r="AL40" i="69" s="1"/>
  <c r="AH40" i="69" a="1"/>
  <c r="AH40" i="69" s="1"/>
  <c r="BL40" i="69" a="1"/>
  <c r="BL40" i="69" s="1"/>
  <c r="BI40" i="69" a="1"/>
  <c r="BI40" i="69" s="1"/>
  <c r="R40" i="69"/>
  <c r="AY40" i="69"/>
  <c r="AJ40" i="69" s="1" a="1"/>
  <c r="AJ40" i="69" s="1"/>
  <c r="BB40" i="69"/>
  <c r="AR40" i="69" s="1" a="1"/>
  <c r="AR40" i="69" s="1"/>
  <c r="BH40" i="69" a="1"/>
  <c r="BH40" i="69" s="1"/>
  <c r="AK40" i="69" a="1"/>
  <c r="AK40" i="69" s="1"/>
  <c r="BO40" i="69"/>
  <c r="I56" i="72"/>
  <c r="I56" i="69"/>
  <c r="AJ40" i="72"/>
  <c r="BE40" i="72"/>
  <c r="AK40" i="72" s="1"/>
  <c r="BF40" i="72"/>
  <c r="AT51" i="72" a="1"/>
  <c r="AT51" i="72" s="1"/>
  <c r="BA51" i="72" a="1"/>
  <c r="BA51" i="72" s="1"/>
  <c r="AZ51" i="72" a="1"/>
  <c r="AZ51" i="72" s="1"/>
  <c r="AG51" i="72" a="1"/>
  <c r="AG51" i="72" s="1"/>
  <c r="AQ51" i="72" a="1"/>
  <c r="AQ51" i="72" s="1"/>
  <c r="AL51" i="72" a="1"/>
  <c r="AL51" i="72" s="1"/>
  <c r="AF51" i="72" a="1"/>
  <c r="AF51" i="72" s="1"/>
  <c r="AU51" i="72" a="1"/>
  <c r="AU51" i="72" s="1"/>
  <c r="BL19" i="69" a="1"/>
  <c r="BL19" i="69" s="1"/>
  <c r="R19" i="69"/>
  <c r="AY19" i="69"/>
  <c r="BO19" i="69"/>
  <c r="BH19" i="69" a="1"/>
  <c r="BH19" i="69" s="1"/>
  <c r="BB19" i="69"/>
  <c r="AQ19" i="69" s="1" a="1"/>
  <c r="AQ19" i="69" s="1"/>
  <c r="BI19" i="69" a="1"/>
  <c r="BI19" i="69" s="1"/>
  <c r="BI54" i="72"/>
  <c r="BV54" i="72"/>
  <c r="AT54" i="72" a="1"/>
  <c r="AT54" i="72" s="1"/>
  <c r="F68" i="69"/>
  <c r="F68" i="72"/>
  <c r="BV49" i="72"/>
  <c r="BA5" i="69"/>
  <c r="AZ5" i="69"/>
  <c r="BK5" i="69"/>
  <c r="BJ5" i="69" s="1"/>
  <c r="BM5" i="69" s="1"/>
  <c r="AY5" i="69"/>
  <c r="BB5" i="69"/>
  <c r="AQ5" i="69" s="1" a="1"/>
  <c r="AQ5" i="69" s="1"/>
  <c r="AK5" i="69" a="1"/>
  <c r="AK5" i="69" s="1"/>
  <c r="BH5" i="69" a="1"/>
  <c r="BH5" i="69" s="1"/>
  <c r="R5" i="69"/>
  <c r="AJ5" i="69" s="1" a="1"/>
  <c r="AJ5" i="69" s="1"/>
  <c r="BO5" i="69"/>
  <c r="BI5" i="69" a="1"/>
  <c r="BI5" i="69" s="1"/>
  <c r="BL41" i="69" a="1"/>
  <c r="BL41" i="69" s="1"/>
  <c r="R41" i="69"/>
  <c r="BO41" i="69"/>
  <c r="BH41" i="69" a="1"/>
  <c r="BH41" i="69" s="1"/>
  <c r="BB41" i="69"/>
  <c r="AQ41" i="69" s="1" a="1"/>
  <c r="AQ41" i="69" s="1"/>
  <c r="AY41" i="69"/>
  <c r="AK41" i="69" a="1"/>
  <c r="AK41" i="69" s="1"/>
  <c r="BI41" i="69" a="1"/>
  <c r="BI41" i="69" s="1"/>
  <c r="H41" i="69"/>
  <c r="BV48" i="72"/>
  <c r="BL87" i="4"/>
  <c r="DV87" i="4"/>
  <c r="BH87" i="4"/>
  <c r="AV589" i="13"/>
  <c r="BD87" i="4"/>
  <c r="BT87" i="4"/>
  <c r="I84" i="72"/>
  <c r="I84" i="69"/>
  <c r="AX1430" i="13"/>
  <c r="Z1534" i="13"/>
  <c r="A1529" i="13"/>
  <c r="AV1430" i="13"/>
  <c r="AV35" i="69" a="1"/>
  <c r="AV35" i="69" s="1"/>
  <c r="AP35" i="69" a="1"/>
  <c r="AP35" i="69" s="1"/>
  <c r="AJ35" i="69" a="1"/>
  <c r="AJ35" i="69" s="1"/>
  <c r="AL35" i="69" a="1"/>
  <c r="AL35" i="69" s="1"/>
  <c r="AH35" i="69" a="1"/>
  <c r="AH35" i="69" s="1"/>
  <c r="AU35" i="69" a="1"/>
  <c r="AU35" i="69" s="1"/>
  <c r="AF35" i="69" a="1"/>
  <c r="AF35" i="69" s="1"/>
  <c r="AR35" i="69" a="1"/>
  <c r="AR35" i="69" s="1"/>
  <c r="AJ22" i="72"/>
  <c r="BF22" i="72"/>
  <c r="BO22" i="72"/>
  <c r="BR22" i="72" s="1"/>
  <c r="BE22" i="72"/>
  <c r="AK22" i="72" s="1"/>
  <c r="DE55" i="4"/>
  <c r="AV594" i="13"/>
  <c r="DV92" i="4"/>
  <c r="BL92" i="4"/>
  <c r="BH92" i="4"/>
  <c r="AR79" i="4"/>
  <c r="AQ79" i="4"/>
  <c r="C31" i="72"/>
  <c r="D31" i="72" s="1" a="1"/>
  <c r="D31" i="72" s="1"/>
  <c r="AZ43" i="69"/>
  <c r="AG43" i="69" s="1" a="1"/>
  <c r="AG43" i="69" s="1"/>
  <c r="BA43" i="69"/>
  <c r="E57" i="72"/>
  <c r="AZ84" i="69"/>
  <c r="AI84" i="69" s="1" a="1"/>
  <c r="AI84" i="69" s="1"/>
  <c r="BA84" i="69"/>
  <c r="F58" i="69"/>
  <c r="F58" i="72"/>
  <c r="AV42" i="69" a="1"/>
  <c r="AV42" i="69" s="1"/>
  <c r="AU42" i="69" a="1"/>
  <c r="AU42" i="69" s="1"/>
  <c r="AF42" i="69" a="1"/>
  <c r="AF42" i="69" s="1"/>
  <c r="AH42" i="69" a="1"/>
  <c r="AH42" i="69" s="1"/>
  <c r="AL42" i="69" a="1"/>
  <c r="AL42" i="69" s="1"/>
  <c r="AP42" i="69" a="1"/>
  <c r="AP42" i="69" s="1"/>
  <c r="AG42" i="69" a="1"/>
  <c r="AG42" i="69" s="1"/>
  <c r="AT17" i="72" a="1"/>
  <c r="AT17" i="72" s="1"/>
  <c r="BV17" i="72"/>
  <c r="Z1579" i="13"/>
  <c r="AX1475" i="13"/>
  <c r="AV1475" i="13"/>
  <c r="A1574" i="13"/>
  <c r="DD85" i="4" a="1"/>
  <c r="DD85" i="4" s="1"/>
  <c r="DD84" i="4" a="1"/>
  <c r="DD84" i="4" s="1"/>
  <c r="DD72" i="4" a="1"/>
  <c r="DD72" i="4" s="1"/>
  <c r="DD81" i="4" a="1"/>
  <c r="DD81" i="4" s="1"/>
  <c r="DD71" i="4" a="1"/>
  <c r="DD71" i="4" s="1"/>
  <c r="DD63" i="4" a="1"/>
  <c r="DD63" i="4" s="1"/>
  <c r="DD67" i="4" a="1"/>
  <c r="DD67" i="4" s="1"/>
  <c r="DD80" i="4" a="1"/>
  <c r="DD80" i="4" s="1"/>
  <c r="DD64" i="4" a="1"/>
  <c r="DD64" i="4" s="1"/>
  <c r="DD94" i="4" a="1"/>
  <c r="DD94" i="4" s="1"/>
  <c r="DD90" i="4" a="1"/>
  <c r="DD90" i="4" s="1"/>
  <c r="DD70" i="4" a="1"/>
  <c r="DD70" i="4" s="1"/>
  <c r="DD61" i="4" a="1"/>
  <c r="DD61" i="4" s="1"/>
  <c r="DD89" i="4" a="1"/>
  <c r="DD89" i="4" s="1"/>
  <c r="DD73" i="4" a="1"/>
  <c r="DD73" i="4" s="1"/>
  <c r="DD87" i="4" a="1"/>
  <c r="DD87" i="4" s="1"/>
  <c r="DD55" i="4" a="1"/>
  <c r="DD55" i="4" s="1"/>
  <c r="DD58" i="4" a="1"/>
  <c r="DD58" i="4" s="1"/>
  <c r="DD68" i="4" a="1"/>
  <c r="DD68" i="4" s="1"/>
  <c r="DD57" i="4" a="1"/>
  <c r="DD57" i="4" s="1"/>
  <c r="DD76" i="4" a="1"/>
  <c r="DD76" i="4" s="1"/>
  <c r="DD62" i="4" a="1"/>
  <c r="DD62" i="4" s="1"/>
  <c r="DD69" i="4" a="1"/>
  <c r="DD69" i="4" s="1"/>
  <c r="DD59" i="4" a="1"/>
  <c r="DD59" i="4" s="1"/>
  <c r="DD78" i="4" a="1"/>
  <c r="DD78" i="4" s="1"/>
  <c r="DD82" i="4" a="1"/>
  <c r="DD82" i="4" s="1"/>
  <c r="DD74" i="4" a="1"/>
  <c r="DD74" i="4" s="1"/>
  <c r="DD88" i="4" a="1"/>
  <c r="DD88" i="4" s="1"/>
  <c r="DD96" i="4" a="1"/>
  <c r="DD96" i="4" s="1"/>
  <c r="DD77" i="4" a="1"/>
  <c r="DD77" i="4" s="1"/>
  <c r="DD95" i="4" a="1"/>
  <c r="DD95" i="4" s="1"/>
  <c r="DD91" i="4" a="1"/>
  <c r="DD91" i="4" s="1"/>
  <c r="DD79" i="4" a="1"/>
  <c r="DD79" i="4" s="1"/>
  <c r="DD93" i="4" a="1"/>
  <c r="DD93" i="4" s="1"/>
  <c r="DD65" i="4" a="1"/>
  <c r="DD65" i="4" s="1"/>
  <c r="DD75" i="4" a="1"/>
  <c r="DD75" i="4" s="1"/>
  <c r="DD86" i="4" a="1"/>
  <c r="DD86" i="4" s="1"/>
  <c r="DD56" i="4" a="1"/>
  <c r="DD56" i="4" s="1"/>
  <c r="DD66" i="4" a="1"/>
  <c r="DD66" i="4" s="1"/>
  <c r="DD83" i="4" a="1"/>
  <c r="DD83" i="4" s="1"/>
  <c r="DD92" i="4" a="1"/>
  <c r="DD92" i="4" s="1"/>
  <c r="O31" i="69"/>
  <c r="BH31" i="69" a="1"/>
  <c r="BH31" i="69" s="1"/>
  <c r="R31" i="69"/>
  <c r="BO31" i="69"/>
  <c r="AY31" i="69"/>
  <c r="BB31" i="69"/>
  <c r="AR31" i="69" s="1" a="1"/>
  <c r="AR31" i="69" s="1"/>
  <c r="AK31" i="69" a="1"/>
  <c r="AK31" i="69" s="1"/>
  <c r="BI31" i="69" a="1"/>
  <c r="BI31" i="69" s="1"/>
  <c r="U84" i="72" a="1"/>
  <c r="U84" i="72" s="1"/>
  <c r="I91" i="15" a="1"/>
  <c r="I91" i="15" s="1"/>
  <c r="BK91" i="72"/>
  <c r="BQ38" i="72" a="1"/>
  <c r="BQ38" i="72" s="1"/>
  <c r="BV38" i="72"/>
  <c r="I241" i="15" a="1"/>
  <c r="I241" i="15" s="1"/>
  <c r="AE59" i="69" a="1"/>
  <c r="AE59" i="69" s="1"/>
  <c r="AK59" i="69" s="1" a="1"/>
  <c r="AK59" i="69" s="1"/>
  <c r="K24" i="72" a="1"/>
  <c r="K24" i="72" s="1"/>
  <c r="BK39" i="69"/>
  <c r="BJ39" i="69" s="1"/>
  <c r="BM39" i="69" s="1"/>
  <c r="AK39" i="69" a="1"/>
  <c r="AK39" i="69" s="1"/>
  <c r="R39" i="69"/>
  <c r="BH39" i="69" a="1"/>
  <c r="BH39" i="69" s="1"/>
  <c r="BB39" i="69"/>
  <c r="AQ39" i="69" s="1" a="1"/>
  <c r="AQ39" i="69" s="1"/>
  <c r="BI39" i="69" a="1"/>
  <c r="BI39" i="69" s="1"/>
  <c r="BO39" i="69"/>
  <c r="AY39" i="69"/>
  <c r="BQ24" i="69"/>
  <c r="AO24" i="69" a="1"/>
  <c r="AO24" i="69" s="1"/>
  <c r="AD79" i="69"/>
  <c r="AE8" i="69" a="1"/>
  <c r="AE8" i="69" s="1"/>
  <c r="AK8" i="69" s="1" a="1"/>
  <c r="AK8" i="69" s="1"/>
  <c r="I226" i="15" a="1"/>
  <c r="I226" i="15" s="1"/>
  <c r="AT36" i="4" a="1"/>
  <c r="AT36" i="4" s="1"/>
  <c r="AU36" i="4"/>
  <c r="AV36" i="4" a="1"/>
  <c r="AV36" i="4" s="1"/>
  <c r="Y36" i="4"/>
  <c r="CY36" i="4"/>
  <c r="CZ36" i="4" s="1"/>
  <c r="BQ36" i="4"/>
  <c r="CA36" i="4"/>
  <c r="AQ8" i="4"/>
  <c r="AR8" i="4"/>
  <c r="BO94" i="69"/>
  <c r="BH94" i="69" a="1"/>
  <c r="BH94" i="69" s="1"/>
  <c r="BN94" i="69"/>
  <c r="BD81" i="72"/>
  <c r="BG81" i="72"/>
  <c r="AN81" i="72"/>
  <c r="BT81" i="72"/>
  <c r="AI81" i="72"/>
  <c r="BM81" i="72" a="1"/>
  <c r="BM81" i="72" s="1"/>
  <c r="R81" i="72"/>
  <c r="BV93" i="72"/>
  <c r="AH93" i="72"/>
  <c r="I70" i="15" a="1"/>
  <c r="I70" i="15" s="1"/>
  <c r="AY32" i="72" a="1"/>
  <c r="AY32" i="72" s="1"/>
  <c r="BH66" i="72"/>
  <c r="K33" i="69" a="1"/>
  <c r="K33" i="69" s="1"/>
  <c r="AY39" i="72" a="1"/>
  <c r="AY39" i="72" s="1"/>
  <c r="BD1766" i="13" a="1"/>
  <c r="BD1766" i="13" s="1"/>
  <c r="BJ64" i="69"/>
  <c r="BM64" i="69" s="1"/>
  <c r="BA64" i="69"/>
  <c r="AZ64" i="69"/>
  <c r="AG64" i="69" s="1" a="1"/>
  <c r="AG64" i="69" s="1"/>
  <c r="AE74" i="72" a="1"/>
  <c r="AE74" i="72" s="1"/>
  <c r="AT74" i="72" s="1" a="1"/>
  <c r="AT74" i="72" s="1"/>
  <c r="AM74" i="72"/>
  <c r="E71" i="69"/>
  <c r="BK42" i="72"/>
  <c r="I92" i="72"/>
  <c r="I92" i="69"/>
  <c r="U93" i="69" a="1"/>
  <c r="U93" i="69" s="1"/>
  <c r="BA65" i="69"/>
  <c r="AZ65" i="69"/>
  <c r="K30" i="69" a="1"/>
  <c r="K30" i="69" s="1"/>
  <c r="BK30" i="69"/>
  <c r="BJ30" i="69" s="1"/>
  <c r="BM30" i="69" s="1"/>
  <c r="R30" i="69"/>
  <c r="AY30" i="69"/>
  <c r="BO30" i="69"/>
  <c r="BB30" i="69"/>
  <c r="AQ30" i="69" s="1" a="1"/>
  <c r="AQ30" i="69" s="1"/>
  <c r="BH30" i="69" a="1"/>
  <c r="BH30" i="69" s="1"/>
  <c r="BI30" i="69" a="1"/>
  <c r="BI30" i="69" s="1"/>
  <c r="AK30" i="69" a="1"/>
  <c r="AK30" i="69" s="1"/>
  <c r="C26" i="69"/>
  <c r="D26" i="69" s="1" a="1"/>
  <c r="D26" i="69" s="1"/>
  <c r="CA22" i="4"/>
  <c r="Y22" i="4"/>
  <c r="AV22" i="4" a="1"/>
  <c r="AV22" i="4" s="1"/>
  <c r="AU22" i="4"/>
  <c r="AT22" i="4" a="1"/>
  <c r="AT22" i="4" s="1"/>
  <c r="BQ22" i="4"/>
  <c r="AV1392" i="13"/>
  <c r="G94" i="69"/>
  <c r="G96" i="72"/>
  <c r="G95" i="69"/>
  <c r="G94" i="72"/>
  <c r="G95" i="72"/>
  <c r="AQ44" i="4"/>
  <c r="AR44" i="4"/>
  <c r="AQ21" i="4"/>
  <c r="AR21" i="4"/>
  <c r="BE69" i="72"/>
  <c r="AK69" i="72" s="1"/>
  <c r="BF69" i="72"/>
  <c r="AJ69" i="72"/>
  <c r="E89" i="72"/>
  <c r="L73" i="72"/>
  <c r="C47" i="69"/>
  <c r="D47" i="69" s="1" a="1"/>
  <c r="D47" i="69" s="1"/>
  <c r="BL47" i="69" a="1"/>
  <c r="BL47" i="69" s="1"/>
  <c r="AK47" i="69" a="1"/>
  <c r="AK47" i="69" s="1"/>
  <c r="BO47" i="69"/>
  <c r="BB47" i="69"/>
  <c r="AR47" i="69" s="1" a="1"/>
  <c r="AR47" i="69" s="1"/>
  <c r="R47" i="69"/>
  <c r="AY47" i="69"/>
  <c r="BH47" i="69" a="1"/>
  <c r="BH47" i="69" s="1"/>
  <c r="BI47" i="69" a="1"/>
  <c r="BI47" i="69" s="1"/>
  <c r="AZ90" i="69"/>
  <c r="BA90" i="69"/>
  <c r="E25" i="72"/>
  <c r="BI30" i="72"/>
  <c r="AH30" i="72"/>
  <c r="BC72" i="69"/>
  <c r="BI79" i="72"/>
  <c r="BH36" i="72"/>
  <c r="BK44" i="72"/>
  <c r="L36" i="69"/>
  <c r="C28" i="72"/>
  <c r="D28" i="72" s="1" a="1"/>
  <c r="D28" i="72" s="1"/>
  <c r="BS77" i="72"/>
  <c r="BT77" i="72"/>
  <c r="AK77" i="72"/>
  <c r="AN77" i="72"/>
  <c r="R77" i="72"/>
  <c r="BM77" i="72" a="1"/>
  <c r="BM77" i="72" s="1"/>
  <c r="AI77" i="72"/>
  <c r="BD77" i="72"/>
  <c r="BG77" i="72"/>
  <c r="AV77" i="72" s="1" a="1"/>
  <c r="AV77" i="72" s="1"/>
  <c r="BN77" i="72" a="1"/>
  <c r="BN77" i="72" s="1"/>
  <c r="AQ42" i="4"/>
  <c r="AR42" i="4"/>
  <c r="AQ33" i="4"/>
  <c r="AR33" i="4"/>
  <c r="L89" i="69"/>
  <c r="BK73" i="69"/>
  <c r="BJ73" i="69" s="1"/>
  <c r="BM73" i="69" s="1"/>
  <c r="AY47" i="72" a="1"/>
  <c r="AY47" i="72" s="1"/>
  <c r="BD13" i="69"/>
  <c r="BH90" i="72"/>
  <c r="BP90" i="72"/>
  <c r="BM90" i="72" a="1"/>
  <c r="BM90" i="72" s="1"/>
  <c r="BG90" i="72"/>
  <c r="R90" i="72"/>
  <c r="BT90" i="72"/>
  <c r="AN90" i="72"/>
  <c r="BD90" i="72"/>
  <c r="AM70" i="72"/>
  <c r="BP70" i="72"/>
  <c r="BO70" i="72" s="1"/>
  <c r="BR70" i="72" s="1"/>
  <c r="AI70" i="72"/>
  <c r="BD70" i="72"/>
  <c r="BG70" i="72"/>
  <c r="AN70" i="72"/>
  <c r="R70" i="72"/>
  <c r="BM70" i="72" a="1"/>
  <c r="BM70" i="72" s="1"/>
  <c r="BT70" i="72"/>
  <c r="BL60" i="4"/>
  <c r="BM60" i="4" s="1"/>
  <c r="BE60" i="4" s="1" a="1"/>
  <c r="BE60" i="4" s="1"/>
  <c r="AV562" i="13"/>
  <c r="DV60" i="4"/>
  <c r="BH60" i="4"/>
  <c r="BC75" i="69"/>
  <c r="BA75" i="69"/>
  <c r="AZ75" i="69"/>
  <c r="AG75" i="69" s="1" a="1"/>
  <c r="AG75" i="69" s="1"/>
  <c r="BJ75" i="69"/>
  <c r="BM75" i="69" s="1"/>
  <c r="E82" i="72"/>
  <c r="O53" i="72"/>
  <c r="BC27" i="69"/>
  <c r="L16" i="69"/>
  <c r="BT95" i="4"/>
  <c r="BD95" i="4"/>
  <c r="X95" i="4" s="1"/>
  <c r="K50" i="69" a="1"/>
  <c r="K50" i="69" s="1"/>
  <c r="BC61" i="69"/>
  <c r="B76" i="72"/>
  <c r="F185" i="15" a="1"/>
  <c r="F185" i="15" s="1"/>
  <c r="BH68" i="4"/>
  <c r="X66" i="4"/>
  <c r="BR66" i="4"/>
  <c r="BG66" i="4"/>
  <c r="AV1164" i="13" s="1"/>
  <c r="L66" i="4"/>
  <c r="BL64" i="4"/>
  <c r="BG64" i="4"/>
  <c r="AV1162" i="13" s="1"/>
  <c r="BR64" i="4"/>
  <c r="L64" i="4"/>
  <c r="BF77" i="4"/>
  <c r="BF83" i="4"/>
  <c r="BF69" i="4"/>
  <c r="BG82" i="4"/>
  <c r="AV1180" i="13" s="1"/>
  <c r="BR82" i="4"/>
  <c r="AD82" i="72" s="1"/>
  <c r="X82" i="4"/>
  <c r="L82" i="4"/>
  <c r="AH55" i="4"/>
  <c r="AV1351" i="13" s="1"/>
  <c r="AR6" i="4"/>
  <c r="AQ6" i="4"/>
  <c r="AZ15" i="69"/>
  <c r="AI15" i="69" s="1" a="1"/>
  <c r="AI15" i="69" s="1"/>
  <c r="BA15" i="69"/>
  <c r="AV88" i="69" a="1"/>
  <c r="AV88" i="69" s="1"/>
  <c r="AP88" i="69" a="1"/>
  <c r="AP88" i="69" s="1"/>
  <c r="AJ88" i="69" a="1"/>
  <c r="AJ88" i="69" s="1"/>
  <c r="AU88" i="69" a="1"/>
  <c r="AU88" i="69" s="1"/>
  <c r="AF88" i="69" a="1"/>
  <c r="AF88" i="69" s="1"/>
  <c r="AL88" i="69" a="1"/>
  <c r="AL88" i="69" s="1"/>
  <c r="AI88" i="69" a="1"/>
  <c r="AI88" i="69" s="1"/>
  <c r="AH88" i="69" a="1"/>
  <c r="AH88" i="69" s="1"/>
  <c r="AK15" i="69" a="1"/>
  <c r="AK15" i="69" s="1"/>
  <c r="AL15" i="69" a="1"/>
  <c r="AL15" i="69" s="1"/>
  <c r="AU15" i="69" a="1"/>
  <c r="AU15" i="69" s="1"/>
  <c r="AF15" i="69" a="1"/>
  <c r="AF15" i="69" s="1"/>
  <c r="AV15" i="69" a="1"/>
  <c r="AV15" i="69" s="1"/>
  <c r="AJ15" i="69" a="1"/>
  <c r="AJ15" i="69" s="1"/>
  <c r="AH15" i="69" a="1"/>
  <c r="AH15" i="69" s="1"/>
  <c r="AP15" i="69" a="1"/>
  <c r="AP15" i="69" s="1"/>
  <c r="E87" i="69"/>
  <c r="AD27" i="72"/>
  <c r="BF27" i="72"/>
  <c r="BE27" i="72"/>
  <c r="AK27" i="72" s="1"/>
  <c r="AJ27" i="72"/>
  <c r="AP92" i="72" a="1"/>
  <c r="AP92" i="72" s="1"/>
  <c r="AU92" i="72" a="1"/>
  <c r="AU92" i="72" s="1"/>
  <c r="AQ92" i="72" a="1"/>
  <c r="AQ92" i="72" s="1"/>
  <c r="BA92" i="72" a="1"/>
  <c r="BA92" i="72" s="1"/>
  <c r="AZ92" i="72" a="1"/>
  <c r="AZ92" i="72" s="1"/>
  <c r="AL92" i="72" a="1"/>
  <c r="AL92" i="72" s="1"/>
  <c r="BI20" i="69" a="1"/>
  <c r="BI20" i="69" s="1"/>
  <c r="AP20" i="69" a="1"/>
  <c r="AP20" i="69" s="1"/>
  <c r="AU20" i="69" a="1"/>
  <c r="AU20" i="69" s="1"/>
  <c r="AH20" i="69" a="1"/>
  <c r="AH20" i="69" s="1"/>
  <c r="AV20" i="69" a="1"/>
  <c r="AV20" i="69" s="1"/>
  <c r="AJ20" i="69" a="1"/>
  <c r="AJ20" i="69" s="1"/>
  <c r="AQ20" i="69" a="1"/>
  <c r="AQ20" i="69" s="1"/>
  <c r="AR20" i="69" a="1"/>
  <c r="AR20" i="69" s="1"/>
  <c r="AL20" i="69" a="1"/>
  <c r="AL20" i="69" s="1"/>
  <c r="AF20" i="69" a="1"/>
  <c r="AF20" i="69" s="1"/>
  <c r="BB22" i="69"/>
  <c r="AR22" i="69" s="1" a="1"/>
  <c r="AR22" i="69" s="1"/>
  <c r="R22" i="69"/>
  <c r="BO22" i="69"/>
  <c r="BH22" i="69" a="1"/>
  <c r="BH22" i="69" s="1"/>
  <c r="AY22" i="69"/>
  <c r="AK22" i="69" a="1"/>
  <c r="AK22" i="69" s="1"/>
  <c r="Z1510" i="13"/>
  <c r="AX1406" i="13"/>
  <c r="AV1406" i="13"/>
  <c r="A1505" i="13"/>
  <c r="BC40" i="69"/>
  <c r="X26" i="4"/>
  <c r="AZ21" i="69"/>
  <c r="BA21" i="69"/>
  <c r="BP40" i="72"/>
  <c r="BO40" i="72" s="1"/>
  <c r="BR40" i="72" s="1"/>
  <c r="AI40" i="72"/>
  <c r="BT40" i="72"/>
  <c r="BG40" i="72"/>
  <c r="AW40" i="72" s="1" a="1"/>
  <c r="AW40" i="72" s="1"/>
  <c r="AN40" i="72"/>
  <c r="BD40" i="72"/>
  <c r="AO40" i="72" s="1" a="1"/>
  <c r="AO40" i="72" s="1"/>
  <c r="R40" i="72"/>
  <c r="BM40" i="72" a="1"/>
  <c r="BM40" i="72" s="1"/>
  <c r="BN40" i="72" a="1"/>
  <c r="BN40" i="72" s="1"/>
  <c r="AN51" i="72"/>
  <c r="BT51" i="72"/>
  <c r="BG51" i="72"/>
  <c r="AV51" i="72" s="1" a="1"/>
  <c r="AV51" i="72" s="1"/>
  <c r="R51" i="72"/>
  <c r="BM51" i="72" a="1"/>
  <c r="BM51" i="72" s="1"/>
  <c r="AI51" i="72"/>
  <c r="BD51" i="72"/>
  <c r="AO51" i="72" s="1" a="1"/>
  <c r="AO51" i="72" s="1"/>
  <c r="BN51" i="72" a="1"/>
  <c r="BN51" i="72" s="1"/>
  <c r="AP51" i="72" a="1"/>
  <c r="AP51" i="72" s="1"/>
  <c r="AO77" i="69" a="1"/>
  <c r="AO77" i="69" s="1"/>
  <c r="BQ77" i="69"/>
  <c r="I59" i="72"/>
  <c r="I59" i="69"/>
  <c r="BQ46" i="69"/>
  <c r="AO46" i="69" a="1"/>
  <c r="AO46" i="69" s="1"/>
  <c r="AV1456" i="13"/>
  <c r="AX1456" i="13"/>
  <c r="Z1560" i="13"/>
  <c r="A1555" i="13"/>
  <c r="AD6" i="72"/>
  <c r="BE6" i="72"/>
  <c r="AG6" i="72" s="1" a="1"/>
  <c r="AG6" i="72" s="1"/>
  <c r="BF6" i="72"/>
  <c r="AJ6" i="72"/>
  <c r="T60" i="69"/>
  <c r="A60" i="69"/>
  <c r="G60" i="69"/>
  <c r="P60" i="69"/>
  <c r="AN60" i="69"/>
  <c r="S60" i="69"/>
  <c r="AC60" i="69"/>
  <c r="AW60" i="69"/>
  <c r="W60" i="69"/>
  <c r="BK60" i="69" s="1"/>
  <c r="Q60" i="69"/>
  <c r="M60" i="69"/>
  <c r="Z60" i="69"/>
  <c r="N60" i="69" a="1"/>
  <c r="N60" i="69" s="1"/>
  <c r="AB60" i="69" a="1"/>
  <c r="AB60" i="69" s="1"/>
  <c r="BP60" i="69"/>
  <c r="V60" i="69"/>
  <c r="B60" i="69" s="1"/>
  <c r="Y60" i="69"/>
  <c r="U60" i="69" a="1"/>
  <c r="U60" i="69" s="1"/>
  <c r="J60" i="69"/>
  <c r="AX60" i="69"/>
  <c r="AA60" i="69"/>
  <c r="AM60" i="69"/>
  <c r="D28" i="69" a="1"/>
  <c r="D28" i="69" s="1"/>
  <c r="AZ35" i="69"/>
  <c r="AG35" i="69" s="1" a="1"/>
  <c r="AG35" i="69" s="1"/>
  <c r="BA35" i="69"/>
  <c r="E21" i="72"/>
  <c r="Z1542" i="13"/>
  <c r="A1537" i="13"/>
  <c r="AX1438" i="13"/>
  <c r="AV1438" i="13"/>
  <c r="BJ6" i="69"/>
  <c r="BM6" i="69" s="1"/>
  <c r="AZ6" i="69"/>
  <c r="AG6" i="69" s="1" a="1"/>
  <c r="AG6" i="69" s="1"/>
  <c r="BA6" i="69"/>
  <c r="AV63" i="69" a="1"/>
  <c r="AV63" i="69" s="1"/>
  <c r="AP63" i="69" a="1"/>
  <c r="AP63" i="69" s="1"/>
  <c r="AF63" i="69" a="1"/>
  <c r="AF63" i="69" s="1"/>
  <c r="AU63" i="69" a="1"/>
  <c r="AU63" i="69" s="1"/>
  <c r="AH63" i="69" a="1"/>
  <c r="AH63" i="69" s="1"/>
  <c r="AJ63" i="69" a="1"/>
  <c r="AJ63" i="69" s="1"/>
  <c r="AL63" i="69" a="1"/>
  <c r="AL63" i="69" s="1"/>
  <c r="AT19" i="72" a="1"/>
  <c r="AT19" i="72" s="1"/>
  <c r="BV19" i="72"/>
  <c r="I108" i="15" a="1"/>
  <c r="I108" i="15" s="1"/>
  <c r="AT41" i="72" a="1"/>
  <c r="AT41" i="72" s="1"/>
  <c r="AQ41" i="72" a="1"/>
  <c r="AQ41" i="72" s="1"/>
  <c r="AO41" i="72" a="1"/>
  <c r="AO41" i="72" s="1"/>
  <c r="AL41" i="72" a="1"/>
  <c r="AL41" i="72" s="1"/>
  <c r="BA41" i="72" a="1"/>
  <c r="BA41" i="72" s="1"/>
  <c r="AU41" i="72" a="1"/>
  <c r="AU41" i="72" s="1"/>
  <c r="AF41" i="72" a="1"/>
  <c r="AF41" i="72" s="1"/>
  <c r="AZ41" i="72" a="1"/>
  <c r="AZ41" i="72" s="1"/>
  <c r="AW41" i="72" a="1"/>
  <c r="AW41" i="72" s="1"/>
  <c r="AK11" i="69" a="1"/>
  <c r="AK11" i="69" s="1"/>
  <c r="AQ11" i="69" a="1"/>
  <c r="AQ11" i="69" s="1"/>
  <c r="AL11" i="69" a="1"/>
  <c r="AL11" i="69" s="1"/>
  <c r="AP11" i="69" a="1"/>
  <c r="AP11" i="69" s="1"/>
  <c r="AJ11" i="69" a="1"/>
  <c r="AJ11" i="69" s="1"/>
  <c r="AF11" i="69" a="1"/>
  <c r="AF11" i="69" s="1"/>
  <c r="AH11" i="69" a="1"/>
  <c r="AH11" i="69" s="1"/>
  <c r="AV11" i="69" a="1"/>
  <c r="AV11" i="69" s="1"/>
  <c r="AU11" i="69" a="1"/>
  <c r="AU11" i="69" s="1"/>
  <c r="AR11" i="69" a="1"/>
  <c r="AR11" i="69" s="1"/>
  <c r="DV75" i="4"/>
  <c r="AV577" i="13"/>
  <c r="BL75" i="4"/>
  <c r="BH75" i="4"/>
  <c r="I81" i="69"/>
  <c r="I81" i="72"/>
  <c r="E55" i="4"/>
  <c r="H31" i="72"/>
  <c r="A1518" i="13"/>
  <c r="Z1523" i="13"/>
  <c r="AX1419" i="13"/>
  <c r="AV1419" i="13"/>
  <c r="AV1354" i="13"/>
  <c r="G58" i="72"/>
  <c r="G58" i="69"/>
  <c r="BE26" i="72"/>
  <c r="BF26" i="72"/>
  <c r="AJ26" i="72"/>
  <c r="BE59" i="72"/>
  <c r="BF59" i="72"/>
  <c r="AJ59" i="72"/>
  <c r="AX257" i="13"/>
  <c r="A357" i="13"/>
  <c r="AX357" i="13" s="1"/>
  <c r="F67" i="72"/>
  <c r="F67" i="69"/>
  <c r="AV57" i="69" a="1"/>
  <c r="AV57" i="69" s="1"/>
  <c r="AU57" i="69" a="1"/>
  <c r="AU57" i="69" s="1"/>
  <c r="AF57" i="69" a="1"/>
  <c r="AF57" i="69" s="1"/>
  <c r="AH57" i="69" a="1"/>
  <c r="AH57" i="69" s="1"/>
  <c r="AL57" i="69" a="1"/>
  <c r="AL57" i="69" s="1"/>
  <c r="AP57" i="69" a="1"/>
  <c r="AP57" i="69" s="1"/>
  <c r="AJ57" i="69" a="1"/>
  <c r="AJ57" i="69" s="1"/>
  <c r="AX84" i="72" a="1"/>
  <c r="AX84" i="72" s="1"/>
  <c r="AO84" i="72" a="1"/>
  <c r="AO84" i="72" s="1"/>
  <c r="AZ84" i="72" a="1"/>
  <c r="AZ84" i="72" s="1"/>
  <c r="AQ84" i="72" a="1"/>
  <c r="AQ84" i="72" s="1"/>
  <c r="AF84" i="72" a="1"/>
  <c r="AF84" i="72" s="1"/>
  <c r="AU84" i="72" a="1"/>
  <c r="AU84" i="72" s="1"/>
  <c r="BA84" i="72" a="1"/>
  <c r="BA84" i="72" s="1"/>
  <c r="AL84" i="72" a="1"/>
  <c r="AL84" i="72" s="1"/>
  <c r="BV33" i="72"/>
  <c r="AT33" i="72" a="1"/>
  <c r="AT33" i="72" s="1"/>
  <c r="AL64" i="72" a="1"/>
  <c r="AL64" i="72" s="1"/>
  <c r="AF64" i="72" a="1"/>
  <c r="AF64" i="72" s="1"/>
  <c r="AO64" i="72" a="1"/>
  <c r="AO64" i="72" s="1"/>
  <c r="BA64" i="72" a="1"/>
  <c r="BA64" i="72" s="1"/>
  <c r="AU64" i="72" a="1"/>
  <c r="AU64" i="72" s="1"/>
  <c r="AV64" i="72" a="1"/>
  <c r="AV64" i="72" s="1"/>
  <c r="AQ64" i="72" a="1"/>
  <c r="AQ64" i="72" s="1"/>
  <c r="AZ64" i="72" a="1"/>
  <c r="AZ64" i="72" s="1"/>
  <c r="BM96" i="4"/>
  <c r="BE96" i="4" s="1" a="1"/>
  <c r="BE96" i="4" s="1"/>
  <c r="BI96" i="72"/>
  <c r="BE24" i="72"/>
  <c r="AK24" i="72" s="1"/>
  <c r="AJ24" i="72"/>
  <c r="BF24" i="72"/>
  <c r="BO24" i="72"/>
  <c r="BR24" i="72" s="1"/>
  <c r="AX1486" i="13"/>
  <c r="A1585" i="13"/>
  <c r="Z1590" i="13"/>
  <c r="BA79" i="69"/>
  <c r="AZ79" i="69"/>
  <c r="AI79" i="69" s="1" a="1"/>
  <c r="AI79" i="69" s="1"/>
  <c r="CA46" i="4"/>
  <c r="AV46" i="4" a="1"/>
  <c r="AV46" i="4" s="1"/>
  <c r="AT46" i="4" a="1"/>
  <c r="AT46" i="4" s="1"/>
  <c r="H46" i="69" s="1"/>
  <c r="Y46" i="4"/>
  <c r="AU46" i="4"/>
  <c r="BQ46" i="4"/>
  <c r="CY46" i="4"/>
  <c r="CZ46" i="4" s="1"/>
  <c r="AT12" i="72" a="1"/>
  <c r="AT12" i="72" s="1"/>
  <c r="BV12" i="72"/>
  <c r="AX1466" i="13"/>
  <c r="A1565" i="13"/>
  <c r="Z1570" i="13"/>
  <c r="AV1466" i="13"/>
  <c r="C29" i="72"/>
  <c r="D29" i="72" s="1" a="1"/>
  <c r="D29" i="72" s="1"/>
  <c r="H39" i="72"/>
  <c r="U74" i="72" a="1"/>
  <c r="U74" i="72" s="1"/>
  <c r="AP42" i="72" a="1"/>
  <c r="AP42" i="72" s="1"/>
  <c r="AU42" i="72" a="1"/>
  <c r="AU42" i="72" s="1"/>
  <c r="AZ42" i="72" a="1"/>
  <c r="AZ42" i="72" s="1"/>
  <c r="AQ42" i="72" a="1"/>
  <c r="AQ42" i="72" s="1"/>
  <c r="AL42" i="72" a="1"/>
  <c r="AL42" i="72" s="1"/>
  <c r="AF42" i="72" a="1"/>
  <c r="AF42" i="72" s="1"/>
  <c r="BA42" i="72" a="1"/>
  <c r="BA42" i="72" s="1"/>
  <c r="AR48" i="4"/>
  <c r="AQ48" i="4"/>
  <c r="H154" i="15" a="1"/>
  <c r="H154" i="15" s="1"/>
  <c r="AF58" i="72" a="1"/>
  <c r="AF58" i="72" s="1"/>
  <c r="AQ58" i="72" a="1"/>
  <c r="AQ58" i="72" s="1"/>
  <c r="AO58" i="72" a="1"/>
  <c r="AO58" i="72" s="1"/>
  <c r="AL58" i="72" a="1"/>
  <c r="AL58" i="72" s="1"/>
  <c r="BA58" i="72" a="1"/>
  <c r="BA58" i="72" s="1"/>
  <c r="AZ58" i="72" a="1"/>
  <c r="AZ58" i="72" s="1"/>
  <c r="AU58" i="72" a="1"/>
  <c r="AU58" i="72" s="1"/>
  <c r="AW58" i="72" a="1"/>
  <c r="AW58" i="72" s="1"/>
  <c r="AX58" i="72" a="1"/>
  <c r="AX58" i="72" s="1"/>
  <c r="BO81" i="69"/>
  <c r="BH81" i="69" a="1"/>
  <c r="BH81" i="69" s="1"/>
  <c r="AY81" i="69"/>
  <c r="R81" i="69"/>
  <c r="BB81" i="69"/>
  <c r="BJ93" i="69"/>
  <c r="BM93" i="69" s="1"/>
  <c r="AZ93" i="69"/>
  <c r="AI93" i="69" s="1" a="1"/>
  <c r="AI93" i="69" s="1"/>
  <c r="BA93" i="69"/>
  <c r="C12" i="69"/>
  <c r="D12" i="69" s="1" a="1"/>
  <c r="D12" i="69" s="1"/>
  <c r="BL78" i="69" a="1"/>
  <c r="BL78" i="69" s="1"/>
  <c r="BH78" i="69" a="1"/>
  <c r="BH78" i="69" s="1"/>
  <c r="AK78" i="69" a="1"/>
  <c r="AK78" i="69" s="1"/>
  <c r="BB78" i="69"/>
  <c r="AR78" i="69" s="1" a="1"/>
  <c r="AR78" i="69" s="1"/>
  <c r="BI78" i="69" a="1"/>
  <c r="BI78" i="69" s="1"/>
  <c r="R78" i="69"/>
  <c r="AY78" i="69"/>
  <c r="BO78" i="69"/>
  <c r="AZ29" i="69"/>
  <c r="AG29" i="69" s="1" a="1"/>
  <c r="AG29" i="69" s="1"/>
  <c r="BA29" i="69"/>
  <c r="AP26" i="69" a="1"/>
  <c r="AP26" i="69" s="1"/>
  <c r="AU26" i="69" a="1"/>
  <c r="AU26" i="69" s="1"/>
  <c r="AF26" i="69" a="1"/>
  <c r="AF26" i="69" s="1"/>
  <c r="AV26" i="69" a="1"/>
  <c r="AV26" i="69" s="1"/>
  <c r="AH26" i="69" a="1"/>
  <c r="AH26" i="69" s="1"/>
  <c r="AL26" i="69" a="1"/>
  <c r="AL26" i="69" s="1"/>
  <c r="X11" i="4"/>
  <c r="AQ37" i="4"/>
  <c r="AR37" i="4"/>
  <c r="AX1458" i="13"/>
  <c r="A1557" i="13"/>
  <c r="Z1562" i="13"/>
  <c r="AV1458" i="13"/>
  <c r="BA89" i="72" a="1"/>
  <c r="BA89" i="72" s="1"/>
  <c r="AZ89" i="72" a="1"/>
  <c r="AZ89" i="72" s="1"/>
  <c r="AU89" i="72" a="1"/>
  <c r="AU89" i="72" s="1"/>
  <c r="AL89" i="72" a="1"/>
  <c r="AL89" i="72" s="1"/>
  <c r="AQ89" i="72" a="1"/>
  <c r="AQ89" i="72" s="1"/>
  <c r="S89" i="72"/>
  <c r="AD13" i="72"/>
  <c r="L13" i="72"/>
  <c r="AN13" i="72"/>
  <c r="BT13" i="72"/>
  <c r="AI13" i="72"/>
  <c r="BM13" i="72" a="1"/>
  <c r="BM13" i="72" s="1"/>
  <c r="BD13" i="72"/>
  <c r="BG13" i="72"/>
  <c r="R13" i="72"/>
  <c r="AP13" i="72" a="1"/>
  <c r="AP13" i="72" s="1"/>
  <c r="AZ25" i="72" a="1"/>
  <c r="AZ25" i="72" s="1"/>
  <c r="AW25" i="72" a="1"/>
  <c r="AW25" i="72" s="1"/>
  <c r="AF25" i="72" a="1"/>
  <c r="AF25" i="72" s="1"/>
  <c r="AO25" i="72" a="1"/>
  <c r="AO25" i="72" s="1"/>
  <c r="BA25" i="72" a="1"/>
  <c r="BA25" i="72" s="1"/>
  <c r="AL25" i="72" a="1"/>
  <c r="AL25" i="72" s="1"/>
  <c r="AU25" i="72" a="1"/>
  <c r="AU25" i="72" s="1"/>
  <c r="AQ25" i="72" a="1"/>
  <c r="AQ25" i="72" s="1"/>
  <c r="BQ78" i="72" a="1"/>
  <c r="BQ78" i="72" s="1"/>
  <c r="BD78" i="72"/>
  <c r="R78" i="72"/>
  <c r="BM78" i="72" a="1"/>
  <c r="BM78" i="72" s="1"/>
  <c r="AK78" i="72"/>
  <c r="AI78" i="72"/>
  <c r="AN78" i="72"/>
  <c r="BT78" i="72"/>
  <c r="BG78" i="72"/>
  <c r="AV78" i="72" s="1" a="1"/>
  <c r="AV78" i="72" s="1"/>
  <c r="BN78" i="72" a="1"/>
  <c r="BN78" i="72" s="1"/>
  <c r="AP78" i="72" a="1"/>
  <c r="AP78" i="72" s="1"/>
  <c r="BV78" i="72"/>
  <c r="AT78" i="72" a="1"/>
  <c r="AT78" i="72" s="1"/>
  <c r="AT72" i="69" a="1"/>
  <c r="AT72" i="69" s="1"/>
  <c r="BQ75" i="72" a="1"/>
  <c r="BQ75" i="72" s="1"/>
  <c r="AK75" i="72"/>
  <c r="BT75" i="72"/>
  <c r="AN75" i="72"/>
  <c r="R75" i="72"/>
  <c r="BN75" i="72" a="1"/>
  <c r="BN75" i="72" s="1"/>
  <c r="BM75" i="72" a="1"/>
  <c r="BM75" i="72" s="1"/>
  <c r="AP75" i="72" a="1"/>
  <c r="AP75" i="72" s="1"/>
  <c r="BD75" i="72"/>
  <c r="BG75" i="72"/>
  <c r="AW75" i="72" s="1" a="1"/>
  <c r="AW75" i="72" s="1"/>
  <c r="AE67" i="72" a="1"/>
  <c r="AE67" i="72" s="1"/>
  <c r="BQ82" i="69"/>
  <c r="BK36" i="72"/>
  <c r="BC36" i="69"/>
  <c r="BI28" i="72"/>
  <c r="BV28" i="72"/>
  <c r="AT28" i="72" a="1"/>
  <c r="AT28" i="72" s="1"/>
  <c r="BJ51" i="69"/>
  <c r="BM51" i="69" s="1"/>
  <c r="BA51" i="69"/>
  <c r="AZ51" i="69"/>
  <c r="AG51" i="69" s="1" a="1"/>
  <c r="AG51" i="69" s="1"/>
  <c r="U56" i="72" a="1"/>
  <c r="U56" i="72" s="1"/>
  <c r="AV1449" i="13"/>
  <c r="A1548" i="13"/>
  <c r="AX1449" i="13"/>
  <c r="Z1553" i="13"/>
  <c r="R69" i="69"/>
  <c r="BB69" i="69"/>
  <c r="BH69" i="69" a="1"/>
  <c r="BH69" i="69" s="1"/>
  <c r="AY69" i="69"/>
  <c r="BO69" i="69"/>
  <c r="BI69" i="69" a="1"/>
  <c r="BI69" i="69" s="1"/>
  <c r="O47" i="72"/>
  <c r="AJ70" i="72"/>
  <c r="BE70" i="72"/>
  <c r="AK70" i="72" s="1"/>
  <c r="BF70" i="72"/>
  <c r="BV70" i="72"/>
  <c r="BV50" i="72"/>
  <c r="AT50" i="72" a="1"/>
  <c r="AT50" i="72" s="1"/>
  <c r="BE50" i="72"/>
  <c r="AG50" i="72" s="1" a="1"/>
  <c r="AG50" i="72" s="1"/>
  <c r="AJ50" i="72"/>
  <c r="BF50" i="72"/>
  <c r="AY82" i="72" a="1"/>
  <c r="AY82" i="72" s="1"/>
  <c r="BD16" i="69"/>
  <c r="BL16" i="69" a="1"/>
  <c r="BL16" i="69" s="1"/>
  <c r="BH16" i="69" a="1"/>
  <c r="BH16" i="69" s="1"/>
  <c r="R16" i="69"/>
  <c r="AK16" i="69" a="1"/>
  <c r="AK16" i="69" s="1"/>
  <c r="BB16" i="69"/>
  <c r="BO16" i="69"/>
  <c r="AY16" i="69"/>
  <c r="AJ16" i="69" s="1" a="1"/>
  <c r="AJ16" i="69" s="1"/>
  <c r="AZ61" i="69"/>
  <c r="BA61" i="69"/>
  <c r="I43" i="15" a="1"/>
  <c r="I43" i="15" s="1"/>
  <c r="G43" i="15"/>
  <c r="BC1769" i="13" a="1"/>
  <c r="BC1769" i="13" s="1"/>
  <c r="BD94" i="4"/>
  <c r="BR94" i="4" s="1"/>
  <c r="AD94" i="69" s="1"/>
  <c r="BF86" i="4"/>
  <c r="BF72" i="4"/>
  <c r="BF60" i="4"/>
  <c r="BF85" i="4"/>
  <c r="X76" i="4"/>
  <c r="BG76" i="4"/>
  <c r="AV1174" i="13" s="1"/>
  <c r="BR76" i="4"/>
  <c r="L76" i="4"/>
  <c r="BG94" i="4"/>
  <c r="AV1192" i="13" s="1"/>
  <c r="L94" i="4"/>
  <c r="BG89" i="4"/>
  <c r="AV1187" i="13" s="1"/>
  <c r="X89" i="4"/>
  <c r="L89" i="4"/>
  <c r="BP86" i="72"/>
  <c r="BO86" i="72" s="1"/>
  <c r="BR86" i="72" s="1"/>
  <c r="AI86" i="72"/>
  <c r="AP86" i="72" a="1"/>
  <c r="AP86" i="72" s="1"/>
  <c r="BN86" i="72" a="1"/>
  <c r="BN86" i="72" s="1"/>
  <c r="BM86" i="72" a="1"/>
  <c r="BM86" i="72" s="1"/>
  <c r="AN86" i="72"/>
  <c r="BD86" i="72"/>
  <c r="R86" i="72"/>
  <c r="AO86" i="72" s="1" a="1"/>
  <c r="AO86" i="72" s="1"/>
  <c r="BG86" i="72"/>
  <c r="AV86" i="72" s="1" a="1"/>
  <c r="AV86" i="72" s="1"/>
  <c r="BT86" i="72"/>
  <c r="BK87" i="69"/>
  <c r="BJ87" i="69" s="1"/>
  <c r="BM87" i="69" s="1"/>
  <c r="BH87" i="69" a="1"/>
  <c r="BH87" i="69" s="1"/>
  <c r="AY87" i="69"/>
  <c r="BO87" i="69"/>
  <c r="R87" i="69"/>
  <c r="BB87" i="69"/>
  <c r="AR87" i="69" s="1" a="1"/>
  <c r="AR87" i="69" s="1"/>
  <c r="BI87" i="69" a="1"/>
  <c r="BI87" i="69" s="1"/>
  <c r="AK87" i="69" a="1"/>
  <c r="AK87" i="69" s="1"/>
  <c r="AO92" i="69" a="1"/>
  <c r="AO92" i="69" s="1"/>
  <c r="BQ92" i="69"/>
  <c r="AH37" i="72"/>
  <c r="C15" i="72"/>
  <c r="D15" i="72" s="1" a="1"/>
  <c r="D15" i="72" s="1"/>
  <c r="AY87" i="72" a="1"/>
  <c r="AY87" i="72" s="1"/>
  <c r="AO76" i="69" a="1"/>
  <c r="AO76" i="69" s="1"/>
  <c r="BQ76" i="69"/>
  <c r="AV580" i="13"/>
  <c r="BL78" i="4"/>
  <c r="AZ104" i="4" s="1"/>
  <c r="Z1752" i="13" s="1"/>
  <c r="DV78" i="4"/>
  <c r="BH78" i="4"/>
  <c r="AO87" i="69" a="1"/>
  <c r="AO87" i="69" s="1"/>
  <c r="BQ87" i="69"/>
  <c r="L53" i="69"/>
  <c r="R53" i="69"/>
  <c r="BO53" i="69"/>
  <c r="BI53" i="69" a="1"/>
  <c r="BI53" i="69" s="1"/>
  <c r="BB53" i="69"/>
  <c r="AQ53" i="69" s="1" a="1"/>
  <c r="AQ53" i="69" s="1"/>
  <c r="BH53" i="69" a="1"/>
  <c r="BH53" i="69" s="1"/>
  <c r="AY53" i="69"/>
  <c r="AK53" i="69" a="1"/>
  <c r="AK53" i="69" s="1"/>
  <c r="D27" i="72" a="1"/>
  <c r="D27" i="72" s="1"/>
  <c r="BP16" i="72"/>
  <c r="BO16" i="72" s="1"/>
  <c r="BR16" i="72" s="1"/>
  <c r="BT16" i="72"/>
  <c r="AI16" i="72"/>
  <c r="BD16" i="72"/>
  <c r="BM16" i="72" a="1"/>
  <c r="BM16" i="72" s="1"/>
  <c r="R16" i="72"/>
  <c r="BG16" i="72"/>
  <c r="AN16" i="72"/>
  <c r="AY68" i="72" a="1"/>
  <c r="AY68" i="72" s="1"/>
  <c r="AH7" i="72"/>
  <c r="BH92" i="72"/>
  <c r="BO80" i="72"/>
  <c r="BR80" i="72" s="1"/>
  <c r="BF80" i="72"/>
  <c r="AJ80" i="72"/>
  <c r="BE80" i="72"/>
  <c r="BQ20" i="72" a="1"/>
  <c r="BQ20" i="72" s="1"/>
  <c r="BG20" i="72"/>
  <c r="BD20" i="72"/>
  <c r="AI20" i="72"/>
  <c r="AP20" i="72" a="1"/>
  <c r="AP20" i="72" s="1"/>
  <c r="BM20" i="72" a="1"/>
  <c r="BM20" i="72" s="1"/>
  <c r="R20" i="72"/>
  <c r="BT20" i="72"/>
  <c r="AN20" i="72"/>
  <c r="BN20" i="72" a="1"/>
  <c r="BN20" i="72" s="1"/>
  <c r="BV61" i="72"/>
  <c r="AT61" i="72" a="1"/>
  <c r="AT61" i="72" s="1"/>
  <c r="BK49" i="69"/>
  <c r="BJ49" i="69" s="1"/>
  <c r="BM49" i="69" s="1"/>
  <c r="BH49" i="69" a="1"/>
  <c r="BH49" i="69" s="1"/>
  <c r="BO49" i="69"/>
  <c r="R49" i="69"/>
  <c r="BB49" i="69"/>
  <c r="AY49" i="69"/>
  <c r="BI49" i="69" a="1"/>
  <c r="BI49" i="69" s="1"/>
  <c r="AK49" i="69" a="1"/>
  <c r="AK49" i="69" s="1"/>
  <c r="BO43" i="72"/>
  <c r="BR43" i="72" s="1"/>
  <c r="BC22" i="69"/>
  <c r="BH45" i="72"/>
  <c r="BD65" i="4"/>
  <c r="BR65" i="4" s="1"/>
  <c r="AD65" i="69" s="1"/>
  <c r="Z1536" i="13"/>
  <c r="AV1432" i="13"/>
  <c r="AX1432" i="13"/>
  <c r="A1531" i="13"/>
  <c r="AG96" i="69" a="1"/>
  <c r="AG96" i="69" s="1"/>
  <c r="BK14" i="69"/>
  <c r="BJ14" i="69" s="1"/>
  <c r="BM14" i="69" s="1"/>
  <c r="E14" i="69"/>
  <c r="BD18" i="69"/>
  <c r="BA18" i="69"/>
  <c r="AZ18" i="69"/>
  <c r="AI18" i="69" s="1" a="1"/>
  <c r="AI18" i="69" s="1"/>
  <c r="AS40" i="69" a="1"/>
  <c r="AS40" i="69" s="1"/>
  <c r="BT72" i="4"/>
  <c r="BD72" i="4"/>
  <c r="BR72" i="4" s="1"/>
  <c r="BN21" i="69"/>
  <c r="BI18" i="72"/>
  <c r="BS40" i="72"/>
  <c r="BP51" i="72"/>
  <c r="BO51" i="72" s="1"/>
  <c r="BR51" i="72" s="1"/>
  <c r="E85" i="69"/>
  <c r="AY63" i="72" a="1"/>
  <c r="AY63" i="72" s="1"/>
  <c r="BQ19" i="69"/>
  <c r="AO19" i="69" a="1"/>
  <c r="AO19" i="69" s="1"/>
  <c r="BO83" i="69"/>
  <c r="BI83" i="69" a="1"/>
  <c r="BI83" i="69" s="1"/>
  <c r="AY83" i="69"/>
  <c r="BB83" i="69"/>
  <c r="AQ83" i="69" s="1" a="1"/>
  <c r="AQ83" i="69" s="1"/>
  <c r="AK83" i="69" a="1"/>
  <c r="AK83" i="69" s="1"/>
  <c r="BH83" i="69" a="1"/>
  <c r="BH83" i="69" s="1"/>
  <c r="R83" i="69"/>
  <c r="L5" i="69"/>
  <c r="H107" i="15" a="1"/>
  <c r="H107" i="15" s="1"/>
  <c r="AH6" i="72"/>
  <c r="E6" i="72"/>
  <c r="Z60" i="72"/>
  <c r="A60" i="72"/>
  <c r="AR60" i="72"/>
  <c r="G60" i="72"/>
  <c r="P60" i="72"/>
  <c r="Q60" i="72"/>
  <c r="S60" i="72"/>
  <c r="W60" i="72"/>
  <c r="Y60" i="72"/>
  <c r="N60" i="72" a="1"/>
  <c r="N60" i="72" s="1"/>
  <c r="BC60" i="72"/>
  <c r="V60" i="72"/>
  <c r="B60" i="72" s="1"/>
  <c r="T60" i="72"/>
  <c r="M60" i="72"/>
  <c r="AC60" i="72"/>
  <c r="BU60" i="72"/>
  <c r="AA60" i="72"/>
  <c r="J60" i="72"/>
  <c r="AS60" i="72"/>
  <c r="U60" i="72" a="1"/>
  <c r="U60" i="72" s="1"/>
  <c r="BB60" i="72"/>
  <c r="AB60" i="72" a="1"/>
  <c r="AB60" i="72" s="1"/>
  <c r="BD92" i="4"/>
  <c r="X92" i="4" s="1"/>
  <c r="Z1551" i="13"/>
  <c r="AV1447" i="13"/>
  <c r="A1546" i="13"/>
  <c r="AX1447" i="13"/>
  <c r="AD35" i="69"/>
  <c r="BF35" i="69"/>
  <c r="BV8" i="72"/>
  <c r="AT8" i="72" a="1"/>
  <c r="AT8" i="72" s="1"/>
  <c r="E8" i="72"/>
  <c r="BJ54" i="69"/>
  <c r="BM54" i="69" s="1"/>
  <c r="AZ54" i="69"/>
  <c r="AG54" i="69" s="1" a="1"/>
  <c r="AG54" i="69" s="1"/>
  <c r="BA54" i="69"/>
  <c r="BS22" i="72"/>
  <c r="AM22" i="72"/>
  <c r="H108" i="15" a="1"/>
  <c r="H108" i="15" s="1"/>
  <c r="L5" i="72"/>
  <c r="BD5" i="72"/>
  <c r="AN5" i="72"/>
  <c r="BM5" i="72" a="1"/>
  <c r="BM5" i="72" s="1"/>
  <c r="AI5" i="72"/>
  <c r="BG5" i="72"/>
  <c r="AV5" i="72" s="1" a="1"/>
  <c r="AV5" i="72" s="1"/>
  <c r="BN5" i="72" a="1"/>
  <c r="BN5" i="72" s="1"/>
  <c r="BT5" i="72"/>
  <c r="R5" i="72"/>
  <c r="AO5" i="72" s="1" a="1"/>
  <c r="AO5" i="72" s="1"/>
  <c r="AP5" i="72" a="1"/>
  <c r="AP5" i="72" s="1"/>
  <c r="AK5" i="72"/>
  <c r="BQ48" i="69"/>
  <c r="AO48" i="69" a="1"/>
  <c r="AO48" i="69" s="1"/>
  <c r="AX1478" i="13"/>
  <c r="Z1582" i="13"/>
  <c r="A1577" i="13"/>
  <c r="AV1478" i="13"/>
  <c r="AV1487" i="13"/>
  <c r="A1586" i="13"/>
  <c r="AX1487" i="13"/>
  <c r="AD35" i="72"/>
  <c r="AE31" i="72" a="1"/>
  <c r="AE31" i="72" s="1"/>
  <c r="AH31" i="72"/>
  <c r="AV360" i="13"/>
  <c r="AV460" i="13" s="1"/>
  <c r="U58" i="72" a="1"/>
  <c r="U58" i="72" s="1"/>
  <c r="U58" i="69" a="1"/>
  <c r="U58" i="69" s="1"/>
  <c r="BF42" i="69"/>
  <c r="BJ38" i="69"/>
  <c r="BM38" i="69" s="1"/>
  <c r="BS59" i="72"/>
  <c r="AH52" i="72"/>
  <c r="CA54" i="4"/>
  <c r="AV54" i="4" a="1"/>
  <c r="AV54" i="4" s="1"/>
  <c r="AT54" i="4" a="1"/>
  <c r="AT54" i="4" s="1"/>
  <c r="AU54" i="4"/>
  <c r="Y54" i="4"/>
  <c r="BQ54" i="4"/>
  <c r="BQ31" i="69"/>
  <c r="AO57" i="69" a="1"/>
  <c r="AO57" i="69" s="1"/>
  <c r="BQ57" i="69"/>
  <c r="BI84" i="72"/>
  <c r="BH84" i="72"/>
  <c r="BK66" i="69"/>
  <c r="BJ66" i="69" s="1"/>
  <c r="BM66" i="69" s="1"/>
  <c r="G66" i="69"/>
  <c r="BQ33" i="72" a="1"/>
  <c r="BQ33" i="72" s="1"/>
  <c r="BM33" i="72" a="1"/>
  <c r="BM33" i="72" s="1"/>
  <c r="AI33" i="72"/>
  <c r="BD33" i="72"/>
  <c r="AN33" i="72"/>
  <c r="BG33" i="72"/>
  <c r="AV33" i="72" s="1" a="1"/>
  <c r="AV33" i="72" s="1"/>
  <c r="R33" i="72"/>
  <c r="BT33" i="72"/>
  <c r="AP33" i="72" a="1"/>
  <c r="AP33" i="72" s="1"/>
  <c r="AK33" i="72"/>
  <c r="AE38" i="72" a="1"/>
  <c r="AE38" i="72" s="1"/>
  <c r="BN38" i="72" s="1" a="1"/>
  <c r="BN38" i="72" s="1"/>
  <c r="U74" i="69" a="1"/>
  <c r="U74" i="69" s="1"/>
  <c r="BG24" i="72"/>
  <c r="AN24" i="72"/>
  <c r="R24" i="72"/>
  <c r="BD24" i="72"/>
  <c r="BM24" i="72" a="1"/>
  <c r="BM24" i="72" s="1"/>
  <c r="BT24" i="72"/>
  <c r="AI24" i="72"/>
  <c r="E24" i="72"/>
  <c r="BQ39" i="69"/>
  <c r="AO39" i="69" a="1"/>
  <c r="AO39" i="69" s="1"/>
  <c r="K24" i="69" a="1"/>
  <c r="K24" i="69" s="1"/>
  <c r="BD24" i="69"/>
  <c r="BN79" i="69"/>
  <c r="AZ68" i="69"/>
  <c r="AI68" i="69" s="1" a="1"/>
  <c r="AI68" i="69" s="1"/>
  <c r="BA68" i="69"/>
  <c r="H8" i="69"/>
  <c r="BL59" i="4"/>
  <c r="DV59" i="4"/>
  <c r="AV561" i="13"/>
  <c r="BH59" i="4"/>
  <c r="D45" i="69" a="1"/>
  <c r="D45" i="69" s="1"/>
  <c r="BP65" i="72"/>
  <c r="BO65" i="72" s="1"/>
  <c r="BR65" i="72" s="1"/>
  <c r="BG65" i="72"/>
  <c r="AW65" i="72" s="1" a="1"/>
  <c r="AW65" i="72" s="1"/>
  <c r="AI65" i="72"/>
  <c r="R65" i="72"/>
  <c r="BD65" i="72"/>
  <c r="AP65" i="72" a="1"/>
  <c r="AP65" i="72" s="1"/>
  <c r="BM65" i="72" a="1"/>
  <c r="BM65" i="72" s="1"/>
  <c r="BT65" i="72"/>
  <c r="AN65" i="72"/>
  <c r="BN65" i="72" a="1"/>
  <c r="BN65" i="72" s="1"/>
  <c r="E65" i="72"/>
  <c r="BF12" i="72"/>
  <c r="BO12" i="72"/>
  <c r="BR12" i="72" s="1"/>
  <c r="BE12" i="72"/>
  <c r="AK12" i="72" s="1"/>
  <c r="AJ12" i="72"/>
  <c r="I67" i="69"/>
  <c r="I67" i="72"/>
  <c r="BV66" i="72"/>
  <c r="AT66" i="72" a="1"/>
  <c r="AT66" i="72" s="1"/>
  <c r="C33" i="69"/>
  <c r="D33" i="69" s="1" a="1"/>
  <c r="D33" i="69" s="1"/>
  <c r="BA33" i="69"/>
  <c r="BJ33" i="69"/>
  <c r="BM33" i="69" s="1"/>
  <c r="AZ33" i="69"/>
  <c r="AG33" i="69" s="1" a="1"/>
  <c r="AG33" i="69" s="1"/>
  <c r="H29" i="72"/>
  <c r="AM39" i="72"/>
  <c r="BF74" i="72"/>
  <c r="AJ74" i="72"/>
  <c r="BO74" i="72"/>
  <c r="BR74" i="72" s="1"/>
  <c r="BE74" i="72"/>
  <c r="AK74" i="72" s="1"/>
  <c r="BT74" i="72"/>
  <c r="BM74" i="72" a="1"/>
  <c r="BM74" i="72" s="1"/>
  <c r="AI74" i="72"/>
  <c r="BG74" i="72"/>
  <c r="BD74" i="72"/>
  <c r="R74" i="72"/>
  <c r="AN74" i="72"/>
  <c r="U71" i="69" a="1"/>
  <c r="U71" i="69" s="1"/>
  <c r="AD52" i="69"/>
  <c r="R52" i="69"/>
  <c r="BI52" i="69" a="1"/>
  <c r="BI52" i="69" s="1"/>
  <c r="AK52" i="69" a="1"/>
  <c r="AK52" i="69" s="1"/>
  <c r="BO52" i="69"/>
  <c r="AY52" i="69"/>
  <c r="BB52" i="69"/>
  <c r="AQ52" i="69" s="1" a="1"/>
  <c r="AQ52" i="69" s="1"/>
  <c r="BH52" i="69" a="1"/>
  <c r="BH52" i="69" s="1"/>
  <c r="AV12" i="69" a="1"/>
  <c r="AV12" i="69" s="1"/>
  <c r="AP12" i="69" a="1"/>
  <c r="AP12" i="69" s="1"/>
  <c r="AJ12" i="69" a="1"/>
  <c r="AJ12" i="69" s="1"/>
  <c r="AH12" i="69" a="1"/>
  <c r="AH12" i="69" s="1"/>
  <c r="AF12" i="69" a="1"/>
  <c r="AF12" i="69" s="1"/>
  <c r="AU12" i="69" a="1"/>
  <c r="AU12" i="69" s="1"/>
  <c r="AL12" i="69" a="1"/>
  <c r="AL12" i="69" s="1"/>
  <c r="AI12" i="69" a="1"/>
  <c r="AI12" i="69" s="1"/>
  <c r="AS25" i="69" a="1"/>
  <c r="AS25" i="69" s="1"/>
  <c r="AU25" i="69" a="1"/>
  <c r="AU25" i="69" s="1"/>
  <c r="AQ25" i="69" a="1"/>
  <c r="AQ25" i="69" s="1"/>
  <c r="AV25" i="69" a="1"/>
  <c r="AV25" i="69" s="1"/>
  <c r="AJ25" i="69" a="1"/>
  <c r="AJ25" i="69" s="1"/>
  <c r="AL25" i="69" a="1"/>
  <c r="AL25" i="69" s="1"/>
  <c r="AP25" i="69" a="1"/>
  <c r="AP25" i="69" s="1"/>
  <c r="AF25" i="69" a="1"/>
  <c r="AF25" i="69" s="1"/>
  <c r="AH25" i="69" a="1"/>
  <c r="AH25" i="69" s="1"/>
  <c r="BQ25" i="69"/>
  <c r="AO25" i="69" a="1"/>
  <c r="AO25" i="69" s="1"/>
  <c r="BK78" i="69"/>
  <c r="BJ78" i="69" s="1"/>
  <c r="BM78" i="69" s="1"/>
  <c r="S78" i="69"/>
  <c r="BF72" i="72"/>
  <c r="BE72" i="72"/>
  <c r="AJ72" i="72"/>
  <c r="AD29" i="69"/>
  <c r="BJ44" i="69"/>
  <c r="BM44" i="69" s="1"/>
  <c r="BQ44" i="69"/>
  <c r="H10" i="69"/>
  <c r="H10" i="72"/>
  <c r="H26" i="69"/>
  <c r="Z1575" i="13"/>
  <c r="A1570" i="13"/>
  <c r="AX1471" i="13"/>
  <c r="B89" i="72"/>
  <c r="BQ47" i="69"/>
  <c r="AO47" i="69" a="1"/>
  <c r="AO47" i="69" s="1"/>
  <c r="BI13" i="72"/>
  <c r="H30" i="72"/>
  <c r="BF67" i="72"/>
  <c r="BE67" i="72"/>
  <c r="AJ67" i="72"/>
  <c r="AK82" i="69" a="1"/>
  <c r="AK82" i="69" s="1"/>
  <c r="AY82" i="69"/>
  <c r="AJ82" i="69" s="1" a="1"/>
  <c r="AJ82" i="69" s="1"/>
  <c r="BI82" i="69" a="1"/>
  <c r="BI82" i="69" s="1"/>
  <c r="R82" i="69"/>
  <c r="BB82" i="69"/>
  <c r="AQ82" i="69" s="1" a="1"/>
  <c r="AQ82" i="69" s="1"/>
  <c r="BO82" i="69"/>
  <c r="BH82" i="69" a="1"/>
  <c r="BH82" i="69" s="1"/>
  <c r="K36" i="72" a="1"/>
  <c r="K36" i="72" s="1"/>
  <c r="AH36" i="72"/>
  <c r="AU44" i="72" a="1"/>
  <c r="AU44" i="72" s="1"/>
  <c r="BA44" i="72" a="1"/>
  <c r="BA44" i="72" s="1"/>
  <c r="AW44" i="72" a="1"/>
  <c r="AW44" i="72" s="1"/>
  <c r="AQ44" i="72" a="1"/>
  <c r="AQ44" i="72" s="1"/>
  <c r="AO44" i="72" a="1"/>
  <c r="AO44" i="72" s="1"/>
  <c r="AF44" i="72" a="1"/>
  <c r="AF44" i="72" s="1"/>
  <c r="AV44" i="72" a="1"/>
  <c r="AV44" i="72" s="1"/>
  <c r="AZ44" i="72" a="1"/>
  <c r="AZ44" i="72" s="1"/>
  <c r="AL44" i="72" a="1"/>
  <c r="AL44" i="72" s="1"/>
  <c r="BV44" i="72"/>
  <c r="AT44" i="72" a="1"/>
  <c r="AT44" i="72" s="1"/>
  <c r="BI77" i="72"/>
  <c r="D21" i="72" a="1"/>
  <c r="D21" i="72" s="1"/>
  <c r="AV96" i="72" a="1"/>
  <c r="AV96" i="72" s="1"/>
  <c r="U69" i="69" a="1"/>
  <c r="U69" i="69" s="1"/>
  <c r="AD47" i="72"/>
  <c r="AQ50" i="72" a="1"/>
  <c r="AQ50" i="72" s="1"/>
  <c r="AZ50" i="72" a="1"/>
  <c r="AZ50" i="72" s="1"/>
  <c r="AL50" i="72" a="1"/>
  <c r="AL50" i="72" s="1"/>
  <c r="AU50" i="72" a="1"/>
  <c r="AU50" i="72" s="1"/>
  <c r="BA50" i="72" a="1"/>
  <c r="BA50" i="72" s="1"/>
  <c r="BP50" i="72"/>
  <c r="BO50" i="72" s="1"/>
  <c r="BR50" i="72" s="1"/>
  <c r="R50" i="72"/>
  <c r="AO50" i="72" s="1" a="1"/>
  <c r="AO50" i="72" s="1"/>
  <c r="AN50" i="72"/>
  <c r="BD50" i="72"/>
  <c r="BT50" i="72"/>
  <c r="BM50" i="72" a="1"/>
  <c r="BM50" i="72" s="1"/>
  <c r="BN50" i="72" a="1"/>
  <c r="BN50" i="72" s="1"/>
  <c r="BG50" i="72"/>
  <c r="AW50" i="72" s="1" a="1"/>
  <c r="AW50" i="72" s="1"/>
  <c r="AI50" i="72"/>
  <c r="AP50" i="72" a="1"/>
  <c r="AP50" i="72" s="1"/>
  <c r="AV60" i="4" a="1"/>
  <c r="AV60" i="4" s="1"/>
  <c r="C60" i="69" s="1"/>
  <c r="AU60" i="4"/>
  <c r="Y60" i="4"/>
  <c r="AT60" i="4" a="1"/>
  <c r="AT60" i="4" s="1"/>
  <c r="H60" i="69" s="1"/>
  <c r="BQ60" i="4"/>
  <c r="BI27" i="69" a="1"/>
  <c r="BI27" i="69" s="1"/>
  <c r="AU27" i="69" a="1"/>
  <c r="AU27" i="69" s="1"/>
  <c r="AL27" i="69" a="1"/>
  <c r="AL27" i="69" s="1"/>
  <c r="AF27" i="69" a="1"/>
  <c r="AF27" i="69" s="1"/>
  <c r="AJ27" i="69" a="1"/>
  <c r="AJ27" i="69" s="1"/>
  <c r="AH27" i="69" a="1"/>
  <c r="AH27" i="69" s="1"/>
  <c r="AV27" i="69" a="1"/>
  <c r="AV27" i="69" s="1"/>
  <c r="AQ27" i="69" a="1"/>
  <c r="AQ27" i="69" s="1"/>
  <c r="AR27" i="69" a="1"/>
  <c r="AR27" i="69" s="1"/>
  <c r="AP27" i="69" a="1"/>
  <c r="AP27" i="69" s="1"/>
  <c r="AZ27" i="69"/>
  <c r="AG27" i="69" s="1" a="1"/>
  <c r="AG27" i="69" s="1"/>
  <c r="BA27" i="69"/>
  <c r="AD16" i="69"/>
  <c r="AV597" i="13"/>
  <c r="BH95" i="4"/>
  <c r="DV95" i="4"/>
  <c r="BL95" i="4"/>
  <c r="BA70" i="69"/>
  <c r="AZ70" i="69"/>
  <c r="AI70" i="69" s="1" a="1"/>
  <c r="AI70" i="69" s="1"/>
  <c r="AE50" i="69" a="1"/>
  <c r="AE50" i="69" s="1"/>
  <c r="AO50" i="69" s="1" a="1"/>
  <c r="AO50" i="69" s="1"/>
  <c r="AS61" i="69" a="1"/>
  <c r="AS61" i="69" s="1"/>
  <c r="G61" i="69"/>
  <c r="E61" i="69"/>
  <c r="AM76" i="72"/>
  <c r="AR82" i="4"/>
  <c r="AQ82" i="4"/>
  <c r="BD88" i="4"/>
  <c r="X88" i="4" s="1"/>
  <c r="BG67" i="4"/>
  <c r="AV1165" i="13" s="1"/>
  <c r="BR67" i="4"/>
  <c r="L67" i="4"/>
  <c r="BF75" i="4"/>
  <c r="BG58" i="4"/>
  <c r="AV1156" i="13" s="1"/>
  <c r="L58" i="4"/>
  <c r="X69" i="4"/>
  <c r="BG69" i="4"/>
  <c r="AV1167" i="13" s="1"/>
  <c r="L69" i="4"/>
  <c r="BL92" i="69" a="1"/>
  <c r="BL92" i="69" s="1"/>
  <c r="AY92" i="69"/>
  <c r="BI92" i="69" a="1"/>
  <c r="BI92" i="69" s="1"/>
  <c r="BH92" i="69" a="1"/>
  <c r="BH92" i="69" s="1"/>
  <c r="AK92" i="69" a="1"/>
  <c r="AK92" i="69" s="1"/>
  <c r="R92" i="69"/>
  <c r="AJ92" i="69" s="1" a="1"/>
  <c r="AJ92" i="69" s="1"/>
  <c r="BO92" i="69"/>
  <c r="BB92" i="69"/>
  <c r="AR92" i="69" s="1" a="1"/>
  <c r="AR92" i="69" s="1"/>
  <c r="BF85" i="72"/>
  <c r="BE85" i="72"/>
  <c r="AG85" i="72" s="1" a="1"/>
  <c r="AG85" i="72" s="1"/>
  <c r="AJ85" i="72"/>
  <c r="BV85" i="72"/>
  <c r="AT85" i="72" a="1"/>
  <c r="AT85" i="72" s="1"/>
  <c r="AJ87" i="69" a="1"/>
  <c r="AJ87" i="69" s="1"/>
  <c r="AL87" i="69" a="1"/>
  <c r="AL87" i="69" s="1"/>
  <c r="AH87" i="69" a="1"/>
  <c r="AH87" i="69" s="1"/>
  <c r="AF87" i="69" a="1"/>
  <c r="AF87" i="69" s="1"/>
  <c r="AV87" i="69" a="1"/>
  <c r="AV87" i="69" s="1"/>
  <c r="AP87" i="69" a="1"/>
  <c r="AP87" i="69" s="1"/>
  <c r="AU87" i="69" a="1"/>
  <c r="AU87" i="69" s="1"/>
  <c r="AI87" i="69" a="1"/>
  <c r="AI87" i="69" s="1"/>
  <c r="AU24" i="4"/>
  <c r="AT24" i="4" a="1"/>
  <c r="AT24" i="4" s="1"/>
  <c r="AV24" i="4" a="1"/>
  <c r="AV24" i="4" s="1"/>
  <c r="Y24" i="4"/>
  <c r="CY24" i="4"/>
  <c r="CZ24" i="4" s="1"/>
  <c r="BQ24" i="4"/>
  <c r="CA24" i="4"/>
  <c r="L87" i="72"/>
  <c r="AN85" i="72"/>
  <c r="BD85" i="72"/>
  <c r="R85" i="72"/>
  <c r="BG85" i="72"/>
  <c r="AV85" i="72" s="1" a="1"/>
  <c r="AV85" i="72" s="1"/>
  <c r="AI85" i="72"/>
  <c r="BT85" i="72"/>
  <c r="AP85" i="72" a="1"/>
  <c r="AP85" i="72" s="1"/>
  <c r="BN85" i="72" a="1"/>
  <c r="BN85" i="72" s="1"/>
  <c r="AK85" i="72"/>
  <c r="BM85" i="72" a="1"/>
  <c r="BM85" i="72" s="1"/>
  <c r="AO88" i="69" a="1"/>
  <c r="AO88" i="69" s="1"/>
  <c r="BQ88" i="69"/>
  <c r="AX95" i="72" a="1"/>
  <c r="AX95" i="72" s="1"/>
  <c r="AF95" i="72" a="1"/>
  <c r="AF95" i="72" s="1"/>
  <c r="AL95" i="72" a="1"/>
  <c r="AL95" i="72" s="1"/>
  <c r="AO95" i="72" a="1"/>
  <c r="AO95" i="72" s="1"/>
  <c r="AU95" i="72" a="1"/>
  <c r="AU95" i="72" s="1"/>
  <c r="AQ95" i="72" a="1"/>
  <c r="AQ95" i="72" s="1"/>
  <c r="BA95" i="72" a="1"/>
  <c r="BA95" i="72" s="1"/>
  <c r="AZ95" i="72" a="1"/>
  <c r="AZ95" i="72" s="1"/>
  <c r="AG95" i="72" a="1"/>
  <c r="AG95" i="72" s="1"/>
  <c r="AV95" i="72" a="1"/>
  <c r="AV95" i="72" s="1"/>
  <c r="BS46" i="72"/>
  <c r="AE83" i="72" a="1"/>
  <c r="AE83" i="72" s="1"/>
  <c r="BC17" i="69"/>
  <c r="Z1549" i="13"/>
  <c r="AX1445" i="13"/>
  <c r="A1544" i="13"/>
  <c r="AV1445" i="13"/>
  <c r="BK15" i="69"/>
  <c r="BJ15" i="69" s="1"/>
  <c r="BM15" i="69" s="1"/>
  <c r="BB15" i="69"/>
  <c r="AR15" i="69" s="1" a="1"/>
  <c r="AR15" i="69" s="1"/>
  <c r="BH15" i="69" a="1"/>
  <c r="BH15" i="69" s="1"/>
  <c r="BO15" i="69"/>
  <c r="R15" i="69"/>
  <c r="BI15" i="69" a="1"/>
  <c r="BI15" i="69" s="1"/>
  <c r="AY15" i="69"/>
  <c r="BC87" i="69"/>
  <c r="AX1427" i="13"/>
  <c r="Z1531" i="13"/>
  <c r="A1526" i="13"/>
  <c r="AV1427" i="13"/>
  <c r="AR20" i="4"/>
  <c r="AQ20" i="4"/>
  <c r="AE37" i="72" a="1"/>
  <c r="AE37" i="72" s="1"/>
  <c r="AT37" i="72" s="1" a="1"/>
  <c r="AT37" i="72" s="1"/>
  <c r="BK15" i="72"/>
  <c r="AM15" i="72"/>
  <c r="AH15" i="72"/>
  <c r="Z38" i="23"/>
  <c r="BH87" i="72"/>
  <c r="BN7" i="69"/>
  <c r="BK76" i="69"/>
  <c r="BJ76" i="69" s="1"/>
  <c r="BM76" i="69" s="1"/>
  <c r="AK76" i="69" a="1"/>
  <c r="AK76" i="69" s="1"/>
  <c r="AY76" i="69"/>
  <c r="AJ76" i="69" s="1" a="1"/>
  <c r="AJ76" i="69" s="1"/>
  <c r="BH76" i="69" a="1"/>
  <c r="BH76" i="69" s="1"/>
  <c r="R76" i="69"/>
  <c r="BI76" i="69" a="1"/>
  <c r="BI76" i="69" s="1"/>
  <c r="BO76" i="69"/>
  <c r="BB76" i="69"/>
  <c r="AQ76" i="69" s="1" a="1"/>
  <c r="AQ76" i="69" s="1"/>
  <c r="BK28" i="69"/>
  <c r="BJ28" i="69" s="1"/>
  <c r="BM28" i="69" s="1"/>
  <c r="BH62" i="72"/>
  <c r="E85" i="72"/>
  <c r="AY46" i="72" a="1"/>
  <c r="AY46" i="72" s="1"/>
  <c r="BH83" i="72"/>
  <c r="AD17" i="69"/>
  <c r="BA58" i="69"/>
  <c r="BC15" i="69"/>
  <c r="BN87" i="69"/>
  <c r="BA53" i="69"/>
  <c r="AZ53" i="69"/>
  <c r="AG53" i="69" s="1" a="1"/>
  <c r="AG53" i="69" s="1"/>
  <c r="BQ27" i="72" a="1"/>
  <c r="BQ27" i="72" s="1"/>
  <c r="BS16" i="72"/>
  <c r="U62" i="69" a="1"/>
  <c r="U62" i="69" s="1"/>
  <c r="AI68" i="72"/>
  <c r="AH68" i="72"/>
  <c r="AM68" i="72"/>
  <c r="AO86" i="69" a="1"/>
  <c r="AO86" i="69" s="1"/>
  <c r="BQ86" i="69"/>
  <c r="BQ7" i="72" a="1"/>
  <c r="BQ7" i="72" s="1"/>
  <c r="BV7" i="72"/>
  <c r="AT7" i="72" a="1"/>
  <c r="AT7" i="72" s="1"/>
  <c r="BP92" i="72"/>
  <c r="BO92" i="72" s="1"/>
  <c r="BR92" i="72" s="1"/>
  <c r="BG92" i="72"/>
  <c r="AW92" i="72" s="1" a="1"/>
  <c r="AW92" i="72" s="1"/>
  <c r="R92" i="72"/>
  <c r="AO92" i="72" s="1" a="1"/>
  <c r="AO92" i="72" s="1"/>
  <c r="BD92" i="72"/>
  <c r="BM92" i="72" a="1"/>
  <c r="BM92" i="72" s="1"/>
  <c r="AK92" i="72"/>
  <c r="BT92" i="72"/>
  <c r="AN92" i="72"/>
  <c r="BN92" i="72" a="1"/>
  <c r="BN92" i="72" s="1"/>
  <c r="BV92" i="72"/>
  <c r="AT92" i="72" a="1"/>
  <c r="AT92" i="72" s="1"/>
  <c r="L20" i="72"/>
  <c r="BV34" i="72"/>
  <c r="L43" i="72"/>
  <c r="R43" i="72"/>
  <c r="BM43" i="72" a="1"/>
  <c r="BM43" i="72" s="1"/>
  <c r="AI43" i="72"/>
  <c r="BD43" i="72"/>
  <c r="BT43" i="72"/>
  <c r="BG43" i="72"/>
  <c r="AN43" i="72"/>
  <c r="AH43" i="72"/>
  <c r="AM45" i="72"/>
  <c r="X38" i="4"/>
  <c r="CA53" i="4"/>
  <c r="AV53" i="4" a="1"/>
  <c r="AV53" i="4" s="1"/>
  <c r="Y53" i="4"/>
  <c r="AU53" i="4"/>
  <c r="AT53" i="4" a="1"/>
  <c r="AT53" i="4" s="1"/>
  <c r="BQ53" i="4"/>
  <c r="CY53" i="4"/>
  <c r="CZ53" i="4" s="1"/>
  <c r="I231" i="15" a="1"/>
  <c r="I231" i="15" s="1"/>
  <c r="AD18" i="69"/>
  <c r="C40" i="69"/>
  <c r="D40" i="69" s="1" a="1"/>
  <c r="D40" i="69" s="1"/>
  <c r="AY14" i="72" a="1"/>
  <c r="AY14" i="72" s="1"/>
  <c r="E14" i="72"/>
  <c r="AE18" i="72" a="1"/>
  <c r="AE18" i="72" s="1"/>
  <c r="AT18" i="72" s="1" a="1"/>
  <c r="AT18" i="72" s="1"/>
  <c r="E18" i="72"/>
  <c r="AM51" i="72"/>
  <c r="BH63" i="72"/>
  <c r="BA46" i="69"/>
  <c r="AZ46" i="69"/>
  <c r="AI46" i="69" s="1" a="1"/>
  <c r="AI46" i="69" s="1"/>
  <c r="BJ19" i="69"/>
  <c r="BM19" i="69" s="1"/>
  <c r="AZ19" i="69"/>
  <c r="AG19" i="69" s="1" a="1"/>
  <c r="AG19" i="69" s="1"/>
  <c r="BA19" i="69"/>
  <c r="E19" i="69"/>
  <c r="BS49" i="72"/>
  <c r="AZ83" i="69"/>
  <c r="AI83" i="69" s="1" a="1"/>
  <c r="AI83" i="69" s="1"/>
  <c r="BA83" i="69"/>
  <c r="BA41" i="69"/>
  <c r="AZ41" i="69"/>
  <c r="AI41" i="69" s="1" a="1"/>
  <c r="AI41" i="69" s="1"/>
  <c r="L11" i="72"/>
  <c r="H34" i="69"/>
  <c r="I107" i="15" a="1"/>
  <c r="I107" i="15" s="1"/>
  <c r="I141" i="15" a="1"/>
  <c r="I141" i="15" s="1"/>
  <c r="AM6" i="72"/>
  <c r="BJ45" i="69"/>
  <c r="BM45" i="69" s="1"/>
  <c r="AZ45" i="69"/>
  <c r="AG45" i="69" s="1" a="1"/>
  <c r="AG45" i="69" s="1"/>
  <c r="BA45" i="69"/>
  <c r="AV1291" i="13"/>
  <c r="S94" i="72"/>
  <c r="AI94" i="72" s="1"/>
  <c r="BD85" i="4"/>
  <c r="X85" i="4" s="1"/>
  <c r="I209" i="15" a="1"/>
  <c r="I209" i="15" s="1"/>
  <c r="BQ63" i="69"/>
  <c r="AO63" i="69" a="1"/>
  <c r="AO63" i="69" s="1"/>
  <c r="BH19" i="72"/>
  <c r="L54" i="69"/>
  <c r="BQ54" i="69"/>
  <c r="AO54" i="69" a="1"/>
  <c r="AO54" i="69" s="1"/>
  <c r="BC11" i="69"/>
  <c r="BA11" i="69"/>
  <c r="BJ11" i="69"/>
  <c r="BM11" i="69" s="1"/>
  <c r="AZ11" i="69"/>
  <c r="AG11" i="69" s="1" a="1"/>
  <c r="AG11" i="69" s="1"/>
  <c r="BQ11" i="69"/>
  <c r="AO11" i="69" a="1"/>
  <c r="AO11" i="69" s="1"/>
  <c r="AM88" i="72"/>
  <c r="AT48" i="69" a="1"/>
  <c r="AT48" i="69" s="1"/>
  <c r="BT77" i="4"/>
  <c r="BD77" i="4"/>
  <c r="BR77" i="4" s="1"/>
  <c r="E35" i="72"/>
  <c r="CA14" i="4"/>
  <c r="AU14" i="4"/>
  <c r="Y14" i="4"/>
  <c r="AV14" i="4" a="1"/>
  <c r="AV14" i="4" s="1"/>
  <c r="AT14" i="4" a="1"/>
  <c r="AT14" i="4" s="1"/>
  <c r="CY14" i="4"/>
  <c r="CZ14" i="4" s="1"/>
  <c r="P16" i="9" s="1"/>
  <c r="BQ14" i="4"/>
  <c r="BL69" i="4"/>
  <c r="DV69" i="4"/>
  <c r="AV571" i="13"/>
  <c r="BH69" i="4"/>
  <c r="F62" i="15" a="1"/>
  <c r="F62" i="15" s="1"/>
  <c r="G141" i="15" s="1"/>
  <c r="H62" i="15" a="1"/>
  <c r="H62" i="15" s="1"/>
  <c r="BH31" i="72"/>
  <c r="O31" i="72"/>
  <c r="L43" i="69"/>
  <c r="BD43" i="69"/>
  <c r="I89" i="72"/>
  <c r="I89" i="69"/>
  <c r="I58" i="69"/>
  <c r="I58" i="72"/>
  <c r="AS42" i="69" a="1"/>
  <c r="AS42" i="69" s="1"/>
  <c r="E42" i="69"/>
  <c r="BD38" i="69"/>
  <c r="AO38" i="69" a="1"/>
  <c r="AO38" i="69" s="1"/>
  <c r="BQ38" i="69"/>
  <c r="BH59" i="72"/>
  <c r="K52" i="72" a="1"/>
  <c r="K52" i="72" s="1"/>
  <c r="AV1431" i="13"/>
  <c r="Z1535" i="13"/>
  <c r="A1530" i="13"/>
  <c r="AX1431" i="13"/>
  <c r="A1500" i="13"/>
  <c r="Z1505" i="13"/>
  <c r="AV1401" i="13"/>
  <c r="AX1401" i="13"/>
  <c r="E57" i="69"/>
  <c r="AD84" i="72"/>
  <c r="BP84" i="72"/>
  <c r="BO84" i="72" s="1"/>
  <c r="BR84" i="72" s="1"/>
  <c r="O91" i="72"/>
  <c r="K32" i="69" a="1"/>
  <c r="K32" i="69" s="1"/>
  <c r="AZ32" i="69"/>
  <c r="AG32" i="69" s="1" a="1"/>
  <c r="AG32" i="69" s="1"/>
  <c r="BA32" i="69"/>
  <c r="F83" i="69"/>
  <c r="F83" i="72"/>
  <c r="BC66" i="69"/>
  <c r="BH33" i="72"/>
  <c r="AY38" i="72" a="1"/>
  <c r="AY38" i="72" s="1"/>
  <c r="AM38" i="72"/>
  <c r="BH83" i="4"/>
  <c r="BT83" i="4"/>
  <c r="BD83" i="4"/>
  <c r="X83" i="4" s="1"/>
  <c r="AH64" i="72"/>
  <c r="BK74" i="69"/>
  <c r="BJ74" i="69" s="1"/>
  <c r="BM74" i="69" s="1"/>
  <c r="AZ74" i="69"/>
  <c r="BA74" i="69"/>
  <c r="BS24" i="72"/>
  <c r="AX1435" i="13"/>
  <c r="A1534" i="13"/>
  <c r="Z1539" i="13"/>
  <c r="AV1435" i="13"/>
  <c r="E39" i="69"/>
  <c r="BC24" i="69"/>
  <c r="AD24" i="69"/>
  <c r="AV1422" i="13"/>
  <c r="AX1422" i="13"/>
  <c r="A1521" i="13"/>
  <c r="Z1526" i="13"/>
  <c r="BC79" i="69"/>
  <c r="BK79" i="69"/>
  <c r="BJ79" i="69" s="1"/>
  <c r="BM79" i="69" s="1"/>
  <c r="BB79" i="69"/>
  <c r="AR79" i="69" s="1" a="1"/>
  <c r="AR79" i="69" s="1"/>
  <c r="BO79" i="69"/>
  <c r="BH79" i="69" a="1"/>
  <c r="BH79" i="69" s="1"/>
  <c r="R79" i="69"/>
  <c r="AY79" i="69"/>
  <c r="BI79" i="69" a="1"/>
  <c r="BI79" i="69" s="1"/>
  <c r="AK79" i="69" a="1"/>
  <c r="AK79" i="69" s="1"/>
  <c r="C8" i="69"/>
  <c r="D8" i="69" s="1" a="1"/>
  <c r="D8" i="69" s="1"/>
  <c r="AR24" i="4"/>
  <c r="AQ24" i="4"/>
  <c r="L81" i="72"/>
  <c r="BS93" i="72"/>
  <c r="AH65" i="72"/>
  <c r="L91" i="69"/>
  <c r="G66" i="72"/>
  <c r="O29" i="72"/>
  <c r="BH39" i="72"/>
  <c r="AJ39" i="72"/>
  <c r="BE39" i="72"/>
  <c r="AK39" i="72" s="1"/>
  <c r="BF39" i="72"/>
  <c r="AY71" i="72" a="1"/>
  <c r="AY71" i="72" s="1"/>
  <c r="BH74" i="72"/>
  <c r="E74" i="72"/>
  <c r="BC71" i="69"/>
  <c r="BV42" i="72"/>
  <c r="AT42" i="72" a="1"/>
  <c r="AT42" i="72" s="1"/>
  <c r="BD52" i="69"/>
  <c r="BR39" i="4"/>
  <c r="AD39" i="72" s="1"/>
  <c r="BH58" i="69" a="1"/>
  <c r="BH58" i="69" s="1"/>
  <c r="BH86" i="4"/>
  <c r="BL86" i="4"/>
  <c r="AV588" i="13"/>
  <c r="DV86" i="4"/>
  <c r="E81" i="69"/>
  <c r="BN93" i="69"/>
  <c r="BN65" i="69"/>
  <c r="DV74" i="4"/>
  <c r="BL74" i="4"/>
  <c r="AV576" i="13"/>
  <c r="BH74" i="4"/>
  <c r="BD30" i="69"/>
  <c r="AE72" i="72" a="1"/>
  <c r="AE72" i="72" s="1"/>
  <c r="AH72" i="72"/>
  <c r="BJ29" i="69"/>
  <c r="BM29" i="69" s="1"/>
  <c r="BF44" i="69"/>
  <c r="E44" i="69"/>
  <c r="BC26" i="69"/>
  <c r="AR23" i="4"/>
  <c r="AQ23" i="4"/>
  <c r="AV1472" i="13"/>
  <c r="A1571" i="13"/>
  <c r="AX1472" i="13"/>
  <c r="Z1576" i="13"/>
  <c r="BA95" i="69"/>
  <c r="AR81" i="4"/>
  <c r="AQ81" i="4"/>
  <c r="AY73" i="72" a="1"/>
  <c r="AY73" i="72" s="1"/>
  <c r="H47" i="69"/>
  <c r="BA47" i="69"/>
  <c r="AZ47" i="69"/>
  <c r="AI47" i="69" s="1" a="1"/>
  <c r="AI47" i="69" s="1"/>
  <c r="BJ47" i="69"/>
  <c r="BM47" i="69" s="1"/>
  <c r="BQ13" i="72" a="1"/>
  <c r="BQ13" i="72" s="1"/>
  <c r="K25" i="72" a="1"/>
  <c r="K25" i="72" s="1"/>
  <c r="AJ25" i="72"/>
  <c r="BF25" i="72"/>
  <c r="BE25" i="72"/>
  <c r="AK25" i="72" s="1"/>
  <c r="BO25" i="72"/>
  <c r="BR25" i="72" s="1"/>
  <c r="BF78" i="72"/>
  <c r="AJ78" i="72"/>
  <c r="BE78" i="72"/>
  <c r="AG78" i="72" s="1" a="1"/>
  <c r="AG78" i="72" s="1"/>
  <c r="E30" i="72"/>
  <c r="BF75" i="72"/>
  <c r="BE75" i="72"/>
  <c r="AG75" i="72" s="1" a="1"/>
  <c r="AG75" i="72" s="1"/>
  <c r="AJ75" i="72"/>
  <c r="AV397" i="13"/>
  <c r="AV497" i="13" s="1"/>
  <c r="U95" i="69" a="1"/>
  <c r="U95" i="69" s="1"/>
  <c r="U95" i="72" a="1"/>
  <c r="U95" i="72" s="1"/>
  <c r="BL82" i="69" a="1"/>
  <c r="BL82" i="69" s="1"/>
  <c r="BG79" i="72"/>
  <c r="AW79" i="72" s="1" a="1"/>
  <c r="AW79" i="72" s="1"/>
  <c r="R79" i="72"/>
  <c r="AN79" i="72"/>
  <c r="AI79" i="72"/>
  <c r="BT79" i="72"/>
  <c r="BD79" i="72"/>
  <c r="BM79" i="72" a="1"/>
  <c r="BM79" i="72" s="1"/>
  <c r="BN79" i="72" a="1"/>
  <c r="BN79" i="72" s="1"/>
  <c r="AP79" i="72" a="1"/>
  <c r="AP79" i="72" s="1"/>
  <c r="H44" i="72"/>
  <c r="AJ44" i="72"/>
  <c r="BO44" i="72"/>
  <c r="BR44" i="72" s="1"/>
  <c r="BF44" i="72"/>
  <c r="BE44" i="72"/>
  <c r="AK44" i="72" s="1"/>
  <c r="AD36" i="69"/>
  <c r="AO51" i="69" a="1"/>
  <c r="AO51" i="69" s="1"/>
  <c r="AP51" i="69" a="1"/>
  <c r="AP51" i="69" s="1"/>
  <c r="AQ51" i="69" a="1"/>
  <c r="AQ51" i="69" s="1"/>
  <c r="AF51" i="69" a="1"/>
  <c r="AF51" i="69" s="1"/>
  <c r="AU51" i="69" a="1"/>
  <c r="AU51" i="69" s="1"/>
  <c r="AV51" i="69" a="1"/>
  <c r="AV51" i="69" s="1"/>
  <c r="AJ51" i="69" a="1"/>
  <c r="AJ51" i="69" s="1"/>
  <c r="AH51" i="69" a="1"/>
  <c r="AH51" i="69" s="1"/>
  <c r="AR51" i="69" a="1"/>
  <c r="AR51" i="69" s="1"/>
  <c r="AL51" i="69" a="1"/>
  <c r="AL51" i="69" s="1"/>
  <c r="AE56" i="72" a="1"/>
  <c r="AE56" i="72" s="1"/>
  <c r="AT56" i="72" s="1" a="1"/>
  <c r="AT56" i="72" s="1"/>
  <c r="BO56" i="72"/>
  <c r="BR56" i="72" s="1"/>
  <c r="BE56" i="72"/>
  <c r="AK56" i="72" s="1"/>
  <c r="AJ56" i="72"/>
  <c r="BF56" i="72"/>
  <c r="CA6" i="4"/>
  <c r="AV6" i="4" a="1"/>
  <c r="AV6" i="4" s="1"/>
  <c r="AT6" i="4" a="1"/>
  <c r="AT6" i="4" s="1"/>
  <c r="AU6" i="4"/>
  <c r="Y6" i="4"/>
  <c r="BQ6" i="4"/>
  <c r="CY6" i="4"/>
  <c r="CZ6" i="4" s="1"/>
  <c r="D25" i="72" a="1"/>
  <c r="D25" i="72" s="1"/>
  <c r="F240" i="15" a="1"/>
  <c r="F240" i="15" s="1"/>
  <c r="H240" i="15" a="1"/>
  <c r="H240" i="15" s="1"/>
  <c r="Z1520" i="13"/>
  <c r="AX1416" i="13"/>
  <c r="A1515" i="13"/>
  <c r="AV1416" i="13"/>
  <c r="BN96" i="72" a="1"/>
  <c r="BN96" i="72" s="1"/>
  <c r="BD61" i="4"/>
  <c r="X61" i="4" s="1"/>
  <c r="BK47" i="72"/>
  <c r="BF13" i="69"/>
  <c r="AE90" i="72" a="1"/>
  <c r="AE90" i="72" s="1"/>
  <c r="AP90" i="72" s="1" a="1"/>
  <c r="AP90" i="72" s="1"/>
  <c r="AE70" i="72" a="1"/>
  <c r="AE70" i="72" s="1"/>
  <c r="BN70" i="72" s="1" a="1"/>
  <c r="BN70" i="72" s="1"/>
  <c r="B70" i="72"/>
  <c r="AH50" i="72"/>
  <c r="AF50" i="72" s="1" a="1"/>
  <c r="AF50" i="72" s="1"/>
  <c r="BL75" i="69" a="1"/>
  <c r="BL75" i="69" s="1"/>
  <c r="BH75" i="69" a="1"/>
  <c r="BH75" i="69" s="1"/>
  <c r="BB75" i="69"/>
  <c r="AR75" i="69" s="1" a="1"/>
  <c r="AR75" i="69" s="1"/>
  <c r="R75" i="69"/>
  <c r="AY75" i="69"/>
  <c r="AJ75" i="69" s="1" a="1"/>
  <c r="AJ75" i="69" s="1"/>
  <c r="BO75" i="69"/>
  <c r="AK75" i="69" a="1"/>
  <c r="AK75" i="69" s="1"/>
  <c r="BI75" i="69" a="1"/>
  <c r="BI75" i="69" s="1"/>
  <c r="BI82" i="72"/>
  <c r="BK27" i="69"/>
  <c r="BJ27" i="69" s="1"/>
  <c r="BM27" i="69" s="1"/>
  <c r="BL70" i="69" a="1"/>
  <c r="BL70" i="69" s="1"/>
  <c r="BI70" i="69" a="1"/>
  <c r="BI70" i="69" s="1"/>
  <c r="BH70" i="69" a="1"/>
  <c r="BH70" i="69" s="1"/>
  <c r="R70" i="69"/>
  <c r="AK70" i="69" a="1"/>
  <c r="AK70" i="69" s="1"/>
  <c r="BB70" i="69"/>
  <c r="AQ70" i="69" s="1" a="1"/>
  <c r="AQ70" i="69" s="1"/>
  <c r="AY70" i="69"/>
  <c r="BO70" i="69"/>
  <c r="E50" i="69"/>
  <c r="BM76" i="72" a="1"/>
  <c r="BM76" i="72" s="1"/>
  <c r="BG76" i="72"/>
  <c r="AV76" i="72" s="1" a="1"/>
  <c r="AV76" i="72" s="1"/>
  <c r="AI76" i="72"/>
  <c r="AP76" i="72" a="1"/>
  <c r="AP76" i="72" s="1"/>
  <c r="BN76" i="72" a="1"/>
  <c r="BN76" i="72" s="1"/>
  <c r="AN76" i="72"/>
  <c r="BT76" i="72"/>
  <c r="R76" i="72"/>
  <c r="BD76" i="72"/>
  <c r="AO76" i="72" s="1" a="1"/>
  <c r="AO76" i="72" s="1"/>
  <c r="BE76" i="72"/>
  <c r="AK76" i="72" s="1"/>
  <c r="BF76" i="72"/>
  <c r="BO76" i="72"/>
  <c r="BR76" i="72" s="1"/>
  <c r="AJ76" i="72"/>
  <c r="BD78" i="4"/>
  <c r="BR78" i="4" s="1"/>
  <c r="AG94" i="69" a="1"/>
  <c r="AG94" i="69" s="1"/>
  <c r="BD81" i="4"/>
  <c r="X81" i="4" s="1"/>
  <c r="AQ70" i="4"/>
  <c r="AR70" i="4"/>
  <c r="BG70" i="4"/>
  <c r="AV1168" i="13" s="1"/>
  <c r="L70" i="4"/>
  <c r="CY70" i="4" s="1"/>
  <c r="CZ70" i="4" s="1"/>
  <c r="BF68" i="4"/>
  <c r="L87" i="4"/>
  <c r="BR87" i="4"/>
  <c r="BG87" i="4"/>
  <c r="AV1185" i="13" s="1"/>
  <c r="X87" i="4"/>
  <c r="BG81" i="4"/>
  <c r="AV1179" i="13" s="1"/>
  <c r="L81" i="4"/>
  <c r="BF58" i="4"/>
  <c r="BF23" i="4"/>
  <c r="BI97" i="4"/>
  <c r="BG78" i="4"/>
  <c r="AV1176" i="13" s="1"/>
  <c r="L78" i="4"/>
  <c r="BF89" i="4"/>
  <c r="X56" i="4"/>
  <c r="BR56" i="4"/>
  <c r="BG56" i="4"/>
  <c r="AV1154" i="13" s="1"/>
  <c r="L56" i="4"/>
  <c r="BF95" i="4"/>
  <c r="AF86" i="72" a="1"/>
  <c r="AF86" i="72" s="1"/>
  <c r="AR86" i="4"/>
  <c r="AQ86" i="4"/>
  <c r="AV569" i="13"/>
  <c r="BH67" i="4"/>
  <c r="DV67" i="4"/>
  <c r="BL67" i="4"/>
  <c r="E197" i="15"/>
  <c r="H191" i="15" s="1" a="1"/>
  <c r="H191" i="15" s="1"/>
  <c r="BT37" i="72"/>
  <c r="BM37" i="72" a="1"/>
  <c r="BM37" i="72" s="1"/>
  <c r="AN37" i="72"/>
  <c r="R37" i="72"/>
  <c r="BD37" i="72"/>
  <c r="AI37" i="72"/>
  <c r="BG37" i="72"/>
  <c r="AD15" i="72"/>
  <c r="BC7" i="69"/>
  <c r="BN92" i="69"/>
  <c r="AZ92" i="69"/>
  <c r="AI92" i="69" s="1" a="1"/>
  <c r="AI92" i="69" s="1"/>
  <c r="BA92" i="69"/>
  <c r="BN76" i="69"/>
  <c r="E76" i="69"/>
  <c r="AE28" i="69" a="1"/>
  <c r="AE28" i="69" s="1"/>
  <c r="BA28" i="69"/>
  <c r="AZ28" i="69"/>
  <c r="AY62" i="72" a="1"/>
  <c r="AY62" i="72" s="1"/>
  <c r="BP46" i="72"/>
  <c r="BO46" i="72" s="1"/>
  <c r="BR46" i="72" s="1"/>
  <c r="BT46" i="72"/>
  <c r="AK46" i="72"/>
  <c r="BD46" i="72"/>
  <c r="BM46" i="72" a="1"/>
  <c r="BM46" i="72" s="1"/>
  <c r="BN46" i="72" a="1"/>
  <c r="BN46" i="72" s="1"/>
  <c r="AN46" i="72"/>
  <c r="AI46" i="72"/>
  <c r="R46" i="72"/>
  <c r="BG46" i="72"/>
  <c r="AP46" i="72" a="1"/>
  <c r="AP46" i="72" s="1"/>
  <c r="AT86" i="72" a="1"/>
  <c r="AT86" i="72" s="1"/>
  <c r="BV86" i="72"/>
  <c r="BQ83" i="72" a="1"/>
  <c r="BQ83" i="72" s="1"/>
  <c r="BO83" i="72"/>
  <c r="BR83" i="72" s="1"/>
  <c r="BE83" i="72"/>
  <c r="AK83" i="72" s="1"/>
  <c r="AJ83" i="72"/>
  <c r="BF83" i="72"/>
  <c r="L17" i="69"/>
  <c r="E17" i="69"/>
  <c r="AX99" i="4"/>
  <c r="BJ37" i="69"/>
  <c r="BM37" i="69" s="1"/>
  <c r="AX1443" i="13"/>
  <c r="A1542" i="13"/>
  <c r="Z1547" i="13"/>
  <c r="AV1443" i="13"/>
  <c r="BD15" i="69"/>
  <c r="AO15" i="69" a="1"/>
  <c r="AO15" i="69" s="1"/>
  <c r="BQ15" i="69"/>
  <c r="AS87" i="69" a="1"/>
  <c r="AS87" i="69" s="1"/>
  <c r="BP27" i="72"/>
  <c r="BO27" i="72" s="1"/>
  <c r="BR27" i="72" s="1"/>
  <c r="E16" i="72"/>
  <c r="BJ62" i="69"/>
  <c r="BM62" i="69" s="1"/>
  <c r="AZ62" i="69"/>
  <c r="AI62" i="69" s="1" a="1"/>
  <c r="AI62" i="69" s="1"/>
  <c r="BA62" i="69"/>
  <c r="BK86" i="69"/>
  <c r="BJ86" i="69" s="1"/>
  <c r="BM86" i="69" s="1"/>
  <c r="AK86" i="69" a="1"/>
  <c r="AK86" i="69" s="1"/>
  <c r="BH86" i="69" a="1"/>
  <c r="BH86" i="69" s="1"/>
  <c r="BO86" i="69"/>
  <c r="BI86" i="69" a="1"/>
  <c r="BI86" i="69" s="1"/>
  <c r="BB86" i="69"/>
  <c r="AQ86" i="69" s="1" a="1"/>
  <c r="AQ86" i="69" s="1"/>
  <c r="AY86" i="69"/>
  <c r="R86" i="69"/>
  <c r="AJ86" i="69" s="1" a="1"/>
  <c r="AJ86" i="69" s="1"/>
  <c r="AM7" i="72"/>
  <c r="BS92" i="72"/>
  <c r="AH92" i="72"/>
  <c r="AF92" i="72" s="1" a="1"/>
  <c r="AF92" i="72" s="1"/>
  <c r="G80" i="72"/>
  <c r="AJ20" i="72"/>
  <c r="BE20" i="72"/>
  <c r="AK20" i="72" s="1"/>
  <c r="BF20" i="72"/>
  <c r="BO61" i="72"/>
  <c r="BR61" i="72" s="1"/>
  <c r="O34" i="72"/>
  <c r="AE43" i="72" a="1"/>
  <c r="AE43" i="72" s="1"/>
  <c r="BN43" i="72" s="1" a="1"/>
  <c r="BN43" i="72" s="1"/>
  <c r="BF43" i="72"/>
  <c r="BE43" i="72"/>
  <c r="AK43" i="72" s="1"/>
  <c r="AJ43" i="72"/>
  <c r="BK22" i="69"/>
  <c r="BJ22" i="69" s="1"/>
  <c r="BM22" i="69" s="1"/>
  <c r="BQ22" i="69"/>
  <c r="AO22" i="69" a="1"/>
  <c r="AO22" i="69" s="1"/>
  <c r="AH45" i="72"/>
  <c r="BQ45" i="72" a="1"/>
  <c r="BQ45" i="72" s="1"/>
  <c r="BN45" i="72" a="1"/>
  <c r="BN45" i="72" s="1"/>
  <c r="AI45" i="72"/>
  <c r="BM45" i="72" a="1"/>
  <c r="BM45" i="72" s="1"/>
  <c r="R45" i="72"/>
  <c r="BG45" i="72"/>
  <c r="AW45" i="72" s="1" a="1"/>
  <c r="AW45" i="72" s="1"/>
  <c r="BT45" i="72"/>
  <c r="AN45" i="72"/>
  <c r="BD45" i="72"/>
  <c r="AK45" i="72"/>
  <c r="AP45" i="72" a="1"/>
  <c r="AP45" i="72" s="1"/>
  <c r="I65" i="72"/>
  <c r="I65" i="69"/>
  <c r="BN14" i="69"/>
  <c r="BK18" i="69"/>
  <c r="BJ18" i="69" s="1"/>
  <c r="BM18" i="69" s="1"/>
  <c r="R18" i="69"/>
  <c r="AY18" i="69"/>
  <c r="AJ18" i="69" s="1" a="1"/>
  <c r="AJ18" i="69" s="1"/>
  <c r="BH18" i="69" a="1"/>
  <c r="BH18" i="69" s="1"/>
  <c r="BI18" i="69" a="1"/>
  <c r="BI18" i="69" s="1"/>
  <c r="AK18" i="69" a="1"/>
  <c r="AK18" i="69" s="1"/>
  <c r="BB18" i="69"/>
  <c r="AR18" i="69" s="1" a="1"/>
  <c r="AR18" i="69" s="1"/>
  <c r="BO18" i="69"/>
  <c r="H40" i="69"/>
  <c r="BQ40" i="69"/>
  <c r="AO40" i="69" a="1"/>
  <c r="AO40" i="69" s="1"/>
  <c r="AR45" i="4"/>
  <c r="AQ45" i="4"/>
  <c r="BD70" i="4"/>
  <c r="BR70" i="4" s="1"/>
  <c r="AD70" i="69" s="1"/>
  <c r="AD18" i="72"/>
  <c r="AH40" i="72"/>
  <c r="BH51" i="72"/>
  <c r="BP63" i="72"/>
  <c r="BO63" i="72" s="1"/>
  <c r="BR63" i="72" s="1"/>
  <c r="L19" i="69"/>
  <c r="AH54" i="72"/>
  <c r="AF54" i="72" s="1" a="1"/>
  <c r="AF54" i="72" s="1"/>
  <c r="AE49" i="72" a="1"/>
  <c r="AE49" i="72" s="1"/>
  <c r="BN49" i="72" s="1" a="1"/>
  <c r="BN49" i="72" s="1"/>
  <c r="BN5" i="69"/>
  <c r="AO5" i="69" a="1"/>
  <c r="AO5" i="69" s="1"/>
  <c r="BQ5" i="69"/>
  <c r="D48" i="72" a="1"/>
  <c r="D48" i="72" s="1"/>
  <c r="AS35" i="69" a="1"/>
  <c r="AS35" i="69" s="1"/>
  <c r="AO35" i="69" a="1"/>
  <c r="AO35" i="69" s="1"/>
  <c r="BQ35" i="69"/>
  <c r="BL6" i="69" a="1"/>
  <c r="BL6" i="69" s="1"/>
  <c r="BB6" i="69"/>
  <c r="AR6" i="69" s="1" a="1"/>
  <c r="AR6" i="69" s="1"/>
  <c r="BO6" i="69"/>
  <c r="BH6" i="69" a="1"/>
  <c r="BH6" i="69" s="1"/>
  <c r="R6" i="69"/>
  <c r="AY6" i="69"/>
  <c r="AK6" i="69" a="1"/>
  <c r="AK6" i="69" s="1"/>
  <c r="BI6" i="69" a="1"/>
  <c r="BI6" i="69" s="1"/>
  <c r="BP8" i="72"/>
  <c r="BO8" i="72" s="1"/>
  <c r="BR8" i="72" s="1"/>
  <c r="BM8" i="72" a="1"/>
  <c r="BM8" i="72" s="1"/>
  <c r="AN8" i="72"/>
  <c r="AP8" i="72" a="1"/>
  <c r="AP8" i="72" s="1"/>
  <c r="BT8" i="72"/>
  <c r="R8" i="72"/>
  <c r="BD8" i="72"/>
  <c r="AO8" i="72" s="1" a="1"/>
  <c r="AO8" i="72" s="1"/>
  <c r="AI8" i="72"/>
  <c r="BG8" i="72"/>
  <c r="AW8" i="72" s="1" a="1"/>
  <c r="AW8" i="72" s="1"/>
  <c r="BK63" i="69"/>
  <c r="BJ63" i="69" s="1"/>
  <c r="BM63" i="69" s="1"/>
  <c r="BB63" i="69"/>
  <c r="AR63" i="69" s="1" a="1"/>
  <c r="AR63" i="69" s="1"/>
  <c r="BI63" i="69" a="1"/>
  <c r="BI63" i="69" s="1"/>
  <c r="BO63" i="69"/>
  <c r="AK63" i="69" a="1"/>
  <c r="AK63" i="69" s="1"/>
  <c r="AY63" i="69"/>
  <c r="R63" i="69"/>
  <c r="BH63" i="69" a="1"/>
  <c r="BH63" i="69" s="1"/>
  <c r="BQ19" i="72" a="1"/>
  <c r="BQ19" i="72" s="1"/>
  <c r="E19" i="72"/>
  <c r="BO88" i="72"/>
  <c r="BR88" i="72" s="1"/>
  <c r="BQ88" i="72" a="1"/>
  <c r="BQ88" i="72" s="1"/>
  <c r="AN88" i="72"/>
  <c r="BG88" i="72"/>
  <c r="AV88" i="72" s="1" a="1"/>
  <c r="AV88" i="72" s="1"/>
  <c r="BN88" i="72" a="1"/>
  <c r="BN88" i="72" s="1"/>
  <c r="R88" i="72"/>
  <c r="AP88" i="72" a="1"/>
  <c r="AP88" i="72" s="1"/>
  <c r="AI88" i="72"/>
  <c r="BM88" i="72" a="1"/>
  <c r="BM88" i="72" s="1"/>
  <c r="BD88" i="72"/>
  <c r="BT88" i="72"/>
  <c r="AQ54" i="4"/>
  <c r="AR54" i="4"/>
  <c r="AY35" i="72" a="1"/>
  <c r="AY35" i="72" s="1"/>
  <c r="BV35" i="72"/>
  <c r="AE57" i="72" a="1"/>
  <c r="AE57" i="72" s="1"/>
  <c r="AP57" i="72" s="1" a="1"/>
  <c r="AP57" i="72" s="1"/>
  <c r="U57" i="72" a="1"/>
  <c r="U57" i="72" s="1"/>
  <c r="U84" i="69" a="1"/>
  <c r="U84" i="69" s="1"/>
  <c r="BH58" i="4"/>
  <c r="BT58" i="4"/>
  <c r="BD58" i="4"/>
  <c r="X58" i="4" s="1"/>
  <c r="BN56" i="69"/>
  <c r="L42" i="69"/>
  <c r="BP17" i="72"/>
  <c r="BO17" i="72" s="1"/>
  <c r="BR17" i="72" s="1"/>
  <c r="BN17" i="72" a="1"/>
  <c r="BN17" i="72" s="1"/>
  <c r="BG17" i="72"/>
  <c r="AW17" i="72" s="1" a="1"/>
  <c r="AW17" i="72" s="1"/>
  <c r="AP17" i="72" a="1"/>
  <c r="AP17" i="72" s="1"/>
  <c r="AI17" i="72"/>
  <c r="BM17" i="72" a="1"/>
  <c r="BM17" i="72" s="1"/>
  <c r="R17" i="72"/>
  <c r="BD17" i="72"/>
  <c r="AN17" i="72"/>
  <c r="BT17" i="72"/>
  <c r="AE26" i="72" a="1"/>
  <c r="AE26" i="72" s="1"/>
  <c r="AT26" i="72" s="1" a="1"/>
  <c r="AT26" i="72" s="1"/>
  <c r="K38" i="69" a="1"/>
  <c r="K38" i="69" s="1"/>
  <c r="AV1440" i="13"/>
  <c r="AX1440" i="13"/>
  <c r="A1539" i="13"/>
  <c r="Z1544" i="13"/>
  <c r="AE52" i="72" a="1"/>
  <c r="AE52" i="72" s="1"/>
  <c r="AP52" i="72" s="1" a="1"/>
  <c r="AP52" i="72" s="1"/>
  <c r="I83" i="69"/>
  <c r="I83" i="72"/>
  <c r="H4" i="72"/>
  <c r="H4" i="69"/>
  <c r="BI91" i="72"/>
  <c r="AD32" i="69"/>
  <c r="AE66" i="69" a="1"/>
  <c r="AE66" i="69" s="1"/>
  <c r="BI66" i="69" s="1" a="1"/>
  <c r="BI66" i="69" s="1"/>
  <c r="BP33" i="72"/>
  <c r="BO33" i="72" s="1"/>
  <c r="BR33" i="72" s="1"/>
  <c r="E33" i="72"/>
  <c r="BI38" i="72"/>
  <c r="BQ59" i="69"/>
  <c r="AX64" i="72" a="1"/>
  <c r="AX64" i="72" s="1"/>
  <c r="BK24" i="72"/>
  <c r="BN8" i="69"/>
  <c r="BQ8" i="69"/>
  <c r="AT16" i="4" a="1"/>
  <c r="AT16" i="4" s="1"/>
  <c r="AU16" i="4"/>
  <c r="Y16" i="4"/>
  <c r="AV16" i="4" a="1"/>
  <c r="AV16" i="4" s="1"/>
  <c r="BQ16" i="4"/>
  <c r="CA16" i="4"/>
  <c r="AX1421" i="13"/>
  <c r="A1520" i="13"/>
  <c r="Z1525" i="13"/>
  <c r="AV1421" i="13"/>
  <c r="AE93" i="72" a="1"/>
  <c r="AE93" i="72" s="1"/>
  <c r="AP93" i="72" s="1" a="1"/>
  <c r="AP93" i="72" s="1"/>
  <c r="H12" i="72"/>
  <c r="BN33" i="69"/>
  <c r="BT29" i="72"/>
  <c r="R29" i="72"/>
  <c r="BM29" i="72" a="1"/>
  <c r="BM29" i="72" s="1"/>
  <c r="BD29" i="72"/>
  <c r="AI29" i="72"/>
  <c r="AN29" i="72"/>
  <c r="BG29" i="72"/>
  <c r="AW29" i="72" s="1" a="1"/>
  <c r="AW29" i="72" s="1"/>
  <c r="AP29" i="72" a="1"/>
  <c r="AP29" i="72" s="1"/>
  <c r="BN29" i="72" a="1"/>
  <c r="BN29" i="72" s="1"/>
  <c r="AH29" i="72"/>
  <c r="BV39" i="72"/>
  <c r="AT39" i="72" a="1"/>
  <c r="AT39" i="72" s="1"/>
  <c r="AY74" i="72" a="1"/>
  <c r="AY74" i="72" s="1"/>
  <c r="BK71" i="69"/>
  <c r="BJ71" i="69" s="1"/>
  <c r="BM71" i="69" s="1"/>
  <c r="BR89" i="4"/>
  <c r="AI42" i="72"/>
  <c r="AN42" i="72"/>
  <c r="BD42" i="72"/>
  <c r="AO42" i="72" s="1" a="1"/>
  <c r="AO42" i="72" s="1"/>
  <c r="BG42" i="72"/>
  <c r="AV42" i="72" s="1" a="1"/>
  <c r="AV42" i="72" s="1"/>
  <c r="BM42" i="72" a="1"/>
  <c r="BM42" i="72" s="1"/>
  <c r="BT42" i="72"/>
  <c r="R42" i="72"/>
  <c r="BN42" i="72" a="1"/>
  <c r="BN42" i="72" s="1"/>
  <c r="AM42" i="72"/>
  <c r="BK52" i="69"/>
  <c r="BJ52" i="69" s="1"/>
  <c r="BM52" i="69" s="1"/>
  <c r="AQ51" i="4"/>
  <c r="AR51" i="4"/>
  <c r="BO58" i="69"/>
  <c r="AZ81" i="69"/>
  <c r="AI81" i="69" s="1" a="1"/>
  <c r="AI81" i="69" s="1"/>
  <c r="BA81" i="69"/>
  <c r="AV1448" i="13"/>
  <c r="AX1448" i="13"/>
  <c r="A1547" i="13"/>
  <c r="Z1552" i="13"/>
  <c r="BD12" i="69"/>
  <c r="AT25" i="69" a="1"/>
  <c r="AT25" i="69" s="1"/>
  <c r="BS72" i="72"/>
  <c r="BC29" i="69"/>
  <c r="BF29" i="69"/>
  <c r="C10" i="69"/>
  <c r="D10" i="69" s="1" a="1"/>
  <c r="D10" i="69" s="1"/>
  <c r="C10" i="72"/>
  <c r="D10" i="72" s="1" a="1"/>
  <c r="D10" i="72" s="1"/>
  <c r="BQ26" i="69"/>
  <c r="AO26" i="69" a="1"/>
  <c r="AO26" i="69" s="1"/>
  <c r="CA11" i="4"/>
  <c r="AV11" i="4" a="1"/>
  <c r="AV11" i="4" s="1"/>
  <c r="AU11" i="4"/>
  <c r="Y11" i="4"/>
  <c r="AT11" i="4" a="1"/>
  <c r="AT11" i="4" s="1"/>
  <c r="CY11" i="4"/>
  <c r="CZ11" i="4" s="1"/>
  <c r="BQ11" i="4"/>
  <c r="BD90" i="4"/>
  <c r="BR90" i="4" s="1"/>
  <c r="BQ89" i="72" a="1"/>
  <c r="BQ89" i="72" s="1"/>
  <c r="BD89" i="72"/>
  <c r="BG89" i="72"/>
  <c r="AW89" i="72" s="1" a="1"/>
  <c r="AW89" i="72" s="1"/>
  <c r="AN89" i="72"/>
  <c r="BM89" i="72" a="1"/>
  <c r="BM89" i="72" s="1"/>
  <c r="BT89" i="72"/>
  <c r="AI89" i="72"/>
  <c r="R89" i="72"/>
  <c r="AO89" i="72" s="1" a="1"/>
  <c r="AO89" i="72" s="1"/>
  <c r="BN89" i="72" a="1"/>
  <c r="BN89" i="72" s="1"/>
  <c r="AP89" i="72" a="1"/>
  <c r="AP89" i="72" s="1"/>
  <c r="AK89" i="72"/>
  <c r="AM89" i="72"/>
  <c r="AM73" i="72"/>
  <c r="BV13" i="72"/>
  <c r="AT13" i="72" a="1"/>
  <c r="AT13" i="72" s="1"/>
  <c r="BL90" i="69" a="1"/>
  <c r="BL90" i="69" s="1"/>
  <c r="AY90" i="69"/>
  <c r="BO90" i="69"/>
  <c r="BB90" i="69"/>
  <c r="AR90" i="69" s="1" a="1"/>
  <c r="AR90" i="69" s="1"/>
  <c r="R90" i="69"/>
  <c r="BH90" i="69" a="1"/>
  <c r="BH90" i="69" s="1"/>
  <c r="AK90" i="69" a="1"/>
  <c r="AK90" i="69" s="1"/>
  <c r="BI90" i="69" a="1"/>
  <c r="BI90" i="69" s="1"/>
  <c r="BI25" i="72"/>
  <c r="B78" i="72"/>
  <c r="C30" i="72"/>
  <c r="D30" i="72" s="1" a="1"/>
  <c r="D30" i="72" s="1"/>
  <c r="BV30" i="72"/>
  <c r="AT30" i="72" a="1"/>
  <c r="AT30" i="72" s="1"/>
  <c r="BH75" i="72"/>
  <c r="BB1767" i="13" a="1"/>
  <c r="BB1767" i="13" s="1"/>
  <c r="BQ79" i="72" a="1"/>
  <c r="BQ79" i="72" s="1"/>
  <c r="AM79" i="72"/>
  <c r="AD36" i="72"/>
  <c r="AY44" i="72" a="1"/>
  <c r="AY44" i="72" s="1"/>
  <c r="AH44" i="72"/>
  <c r="BQ36" i="69"/>
  <c r="AO36" i="69" a="1"/>
  <c r="AO36" i="69" s="1"/>
  <c r="H28" i="72"/>
  <c r="BC51" i="69"/>
  <c r="BH56" i="72"/>
  <c r="AZ69" i="69"/>
  <c r="BA69" i="69"/>
  <c r="BQ89" i="69"/>
  <c r="AO89" i="69" a="1"/>
  <c r="AO89" i="69" s="1"/>
  <c r="AE73" i="69" a="1"/>
  <c r="AE73" i="69" s="1"/>
  <c r="AO73" i="69" s="1" a="1"/>
  <c r="AO73" i="69" s="1"/>
  <c r="BI47" i="72"/>
  <c r="BO90" i="72"/>
  <c r="BR90" i="72" s="1"/>
  <c r="AJ90" i="72"/>
  <c r="BE90" i="72"/>
  <c r="AK90" i="72" s="1"/>
  <c r="BF90" i="72"/>
  <c r="BS50" i="72"/>
  <c r="E50" i="72"/>
  <c r="BI53" i="72"/>
  <c r="BV53" i="72"/>
  <c r="AT53" i="72" a="1"/>
  <c r="AT53" i="72" s="1"/>
  <c r="K27" i="69" a="1"/>
  <c r="K27" i="69" s="1"/>
  <c r="BK16" i="69"/>
  <c r="BJ16" i="69" s="1"/>
  <c r="BM16" i="69" s="1"/>
  <c r="BQ16" i="69"/>
  <c r="AO16" i="69" a="1"/>
  <c r="AO16" i="69" s="1"/>
  <c r="BK50" i="69"/>
  <c r="BJ50" i="69" s="1"/>
  <c r="BM50" i="69" s="1"/>
  <c r="AS80" i="69" a="1"/>
  <c r="AS80" i="69" s="1"/>
  <c r="U76" i="72" a="1"/>
  <c r="U76" i="72" s="1"/>
  <c r="AV1400" i="13"/>
  <c r="A1499" i="13"/>
  <c r="Z1504" i="13"/>
  <c r="AX1400" i="13"/>
  <c r="BH63" i="4"/>
  <c r="BD93" i="4"/>
  <c r="BR93" i="4" s="1"/>
  <c r="BG61" i="4"/>
  <c r="AV1159" i="13" s="1"/>
  <c r="L61" i="4"/>
  <c r="BF67" i="4"/>
  <c r="X68" i="4"/>
  <c r="BG68" i="4"/>
  <c r="AV1166" i="13" s="1"/>
  <c r="L68" i="4"/>
  <c r="BF87" i="4"/>
  <c r="BF81" i="4"/>
  <c r="BF78" i="4"/>
  <c r="BG95" i="4"/>
  <c r="AV1193" i="13" s="1"/>
  <c r="L95" i="4"/>
  <c r="AQ32" i="4"/>
  <c r="AR32" i="4"/>
  <c r="AJ37" i="72"/>
  <c r="BF37" i="72"/>
  <c r="BE37" i="72"/>
  <c r="AK37" i="72" s="1"/>
  <c r="AY83" i="72" a="1"/>
  <c r="AY83" i="72" s="1"/>
  <c r="AJ87" i="72"/>
  <c r="BF87" i="72"/>
  <c r="BE87" i="72"/>
  <c r="AK87" i="72" s="1"/>
  <c r="AT28" i="69" a="1"/>
  <c r="AT28" i="69" s="1"/>
  <c r="AH85" i="72"/>
  <c r="AR26" i="4"/>
  <c r="AQ26" i="4"/>
  <c r="AY16" i="72" a="1"/>
  <c r="AY16" i="72" s="1"/>
  <c r="BO7" i="72"/>
  <c r="BR7" i="72" s="1"/>
  <c r="BF7" i="72"/>
  <c r="AJ7" i="72"/>
  <c r="BE7" i="72"/>
  <c r="AG7" i="72" s="1" a="1"/>
  <c r="AG7" i="72" s="1"/>
  <c r="AY92" i="72" a="1"/>
  <c r="AY92" i="72" s="1"/>
  <c r="F179" i="15" a="1"/>
  <c r="F179" i="15" s="1"/>
  <c r="H179" i="15" a="1"/>
  <c r="H179" i="15" s="1"/>
  <c r="AR74" i="4"/>
  <c r="AQ74" i="4"/>
  <c r="BC14" i="69"/>
  <c r="BJ40" i="69"/>
  <c r="BM40" i="69" s="1"/>
  <c r="BA40" i="69"/>
  <c r="AZ40" i="69"/>
  <c r="AI40" i="69" s="1" a="1"/>
  <c r="AI40" i="69" s="1"/>
  <c r="BH65" i="4"/>
  <c r="BE1766" i="13" a="1"/>
  <c r="BE1766" i="13" s="1"/>
  <c r="BE1768" i="13" a="1"/>
  <c r="BE1768" i="13" s="1"/>
  <c r="BE1769" i="13" a="1"/>
  <c r="BE1769" i="13" s="1"/>
  <c r="BE1767" i="13" a="1"/>
  <c r="BE1767" i="13" s="1"/>
  <c r="BF18" i="72"/>
  <c r="BE18" i="72"/>
  <c r="AK18" i="72" s="1"/>
  <c r="AJ18" i="72"/>
  <c r="BO18" i="72"/>
  <c r="BR18" i="72" s="1"/>
  <c r="AY40" i="72" a="1"/>
  <c r="AY40" i="72" s="1"/>
  <c r="BV40" i="72"/>
  <c r="AT40" i="72" a="1"/>
  <c r="AT40" i="72" s="1"/>
  <c r="BV51" i="72"/>
  <c r="BA85" i="69"/>
  <c r="AZ85" i="69"/>
  <c r="AG85" i="69" s="1" a="1"/>
  <c r="AG85" i="69" s="1"/>
  <c r="BK85" i="69"/>
  <c r="BJ85" i="69" s="1"/>
  <c r="BM85" i="69" s="1"/>
  <c r="BB85" i="69"/>
  <c r="AR85" i="69" s="1" a="1"/>
  <c r="AR85" i="69" s="1"/>
  <c r="AK85" i="69" a="1"/>
  <c r="AK85" i="69" s="1"/>
  <c r="R85" i="69"/>
  <c r="BO85" i="69"/>
  <c r="BH85" i="69" a="1"/>
  <c r="BH85" i="69" s="1"/>
  <c r="BI85" i="69" a="1"/>
  <c r="BI85" i="69" s="1"/>
  <c r="AY85" i="69"/>
  <c r="BO48" i="72"/>
  <c r="BR48" i="72" s="1"/>
  <c r="BF48" i="72"/>
  <c r="AJ48" i="72"/>
  <c r="BE48" i="72"/>
  <c r="AK48" i="72" s="1"/>
  <c r="BV6" i="72"/>
  <c r="AT6" i="72" a="1"/>
  <c r="AT6" i="72" s="1"/>
  <c r="I85" i="72"/>
  <c r="I85" i="69"/>
  <c r="D7" i="69" a="1"/>
  <c r="D7" i="69" s="1"/>
  <c r="BM21" i="72" a="1"/>
  <c r="BM21" i="72" s="1"/>
  <c r="R21" i="72"/>
  <c r="BG21" i="72"/>
  <c r="BD21" i="72"/>
  <c r="BT21" i="72"/>
  <c r="AN21" i="72"/>
  <c r="AI21" i="72"/>
  <c r="BN21" i="72" a="1"/>
  <c r="BN21" i="72" s="1"/>
  <c r="AM21" i="72"/>
  <c r="AJ19" i="72"/>
  <c r="BF19" i="72"/>
  <c r="BE19" i="72"/>
  <c r="AK19" i="72" s="1"/>
  <c r="AD54" i="69"/>
  <c r="AH5" i="72"/>
  <c r="AF5" i="72" s="1" a="1"/>
  <c r="AF5" i="72" s="1"/>
  <c r="BF88" i="72"/>
  <c r="AJ88" i="72"/>
  <c r="BE88" i="72"/>
  <c r="AG88" i="72" s="1" a="1"/>
  <c r="AG88" i="72" s="1"/>
  <c r="BC48" i="69"/>
  <c r="AV1434" i="13"/>
  <c r="Z1538" i="13"/>
  <c r="AX1434" i="13"/>
  <c r="A1533" i="13"/>
  <c r="AX1476" i="13"/>
  <c r="Z1580" i="13"/>
  <c r="A1575" i="13"/>
  <c r="AQ16" i="4"/>
  <c r="AR16" i="4"/>
  <c r="AE35" i="72" a="1"/>
  <c r="AE35" i="72" s="1"/>
  <c r="D8" i="72" a="1"/>
  <c r="D8" i="72" s="1"/>
  <c r="I102" i="15" a="1"/>
  <c r="I102" i="15" s="1"/>
  <c r="AY31" i="72" a="1"/>
  <c r="AY31" i="72" s="1"/>
  <c r="BF31" i="72"/>
  <c r="BE31" i="72"/>
  <c r="AK31" i="72" s="1"/>
  <c r="AJ31" i="72"/>
  <c r="BO31" i="72"/>
  <c r="BR31" i="72" s="1"/>
  <c r="BL43" i="69" a="1"/>
  <c r="BL43" i="69" s="1"/>
  <c r="BB43" i="69"/>
  <c r="AR43" i="69" s="1" a="1"/>
  <c r="AR43" i="69" s="1"/>
  <c r="AY43" i="69"/>
  <c r="BO43" i="69"/>
  <c r="R43" i="69"/>
  <c r="AK43" i="69" a="1"/>
  <c r="AK43" i="69" s="1"/>
  <c r="BI43" i="69" a="1"/>
  <c r="BI43" i="69" s="1"/>
  <c r="BH43" i="69" a="1"/>
  <c r="BH43" i="69" s="1"/>
  <c r="BM57" i="72" a="1"/>
  <c r="BM57" i="72" s="1"/>
  <c r="BD57" i="72"/>
  <c r="BG57" i="72"/>
  <c r="AI57" i="72"/>
  <c r="AN57" i="72"/>
  <c r="BT57" i="72"/>
  <c r="R57" i="72"/>
  <c r="AK57" i="72"/>
  <c r="AT84" i="69" a="1"/>
  <c r="AT84" i="69" s="1"/>
  <c r="BK84" i="69"/>
  <c r="BJ84" i="69" s="1"/>
  <c r="BM84" i="69" s="1"/>
  <c r="BO84" i="69"/>
  <c r="BH84" i="69" a="1"/>
  <c r="BH84" i="69" s="1"/>
  <c r="R84" i="69"/>
  <c r="BB84" i="69"/>
  <c r="AQ84" i="69" s="1" a="1"/>
  <c r="AQ84" i="69" s="1"/>
  <c r="AY84" i="69"/>
  <c r="AK84" i="69" a="1"/>
  <c r="AK84" i="69" s="1"/>
  <c r="AO56" i="69" a="1"/>
  <c r="AO56" i="69" s="1"/>
  <c r="BQ56" i="69"/>
  <c r="AD42" i="69"/>
  <c r="AD17" i="72"/>
  <c r="O17" i="72"/>
  <c r="AD38" i="69"/>
  <c r="AZ38" i="69"/>
  <c r="AG38" i="69" s="1" a="1"/>
  <c r="AG38" i="69" s="1"/>
  <c r="BA38" i="69"/>
  <c r="AX1483" i="13"/>
  <c r="Z1587" i="13"/>
  <c r="A1582" i="13"/>
  <c r="C15" i="27"/>
  <c r="A8" i="27"/>
  <c r="A7" i="27" s="1"/>
  <c r="AF17" i="27"/>
  <c r="AV1442" i="13"/>
  <c r="A1541" i="13"/>
  <c r="AX1442" i="13"/>
  <c r="Z1546" i="13"/>
  <c r="AZ31" i="69"/>
  <c r="AI31" i="69" s="1" a="1"/>
  <c r="AI31" i="69" s="1"/>
  <c r="BA31" i="69"/>
  <c r="Z1588" i="13"/>
  <c r="A1583" i="13"/>
  <c r="AX1484" i="13"/>
  <c r="AS57" i="69" a="1"/>
  <c r="AS57" i="69" s="1"/>
  <c r="BJ57" i="69"/>
  <c r="BM57" i="69" s="1"/>
  <c r="BA57" i="69"/>
  <c r="AZ57" i="69"/>
  <c r="AI57" i="69" s="1" a="1"/>
  <c r="AI57" i="69" s="1"/>
  <c r="BE84" i="72"/>
  <c r="AK84" i="72" s="1"/>
  <c r="BF84" i="72"/>
  <c r="AJ84" i="72"/>
  <c r="C4" i="72"/>
  <c r="D4" i="72" s="1" a="1"/>
  <c r="D4" i="72" s="1"/>
  <c r="C4" i="69"/>
  <c r="D4" i="69" s="1" a="1"/>
  <c r="D4" i="69" s="1"/>
  <c r="AU91" i="72" a="1"/>
  <c r="AU91" i="72" s="1"/>
  <c r="AV91" i="72" a="1"/>
  <c r="AV91" i="72" s="1"/>
  <c r="AF91" i="72" a="1"/>
  <c r="AF91" i="72" s="1"/>
  <c r="AZ91" i="72" a="1"/>
  <c r="AZ91" i="72" s="1"/>
  <c r="AL91" i="72" a="1"/>
  <c r="AL91" i="72" s="1"/>
  <c r="AO91" i="72" a="1"/>
  <c r="AO91" i="72" s="1"/>
  <c r="AQ91" i="72" a="1"/>
  <c r="AQ91" i="72" s="1"/>
  <c r="AW91" i="72" a="1"/>
  <c r="AW91" i="72" s="1"/>
  <c r="BA91" i="72" a="1"/>
  <c r="BA91" i="72" s="1"/>
  <c r="AG91" i="72" a="1"/>
  <c r="AG91" i="72" s="1"/>
  <c r="BV91" i="72"/>
  <c r="AT91" i="72" a="1"/>
  <c r="AT91" i="72" s="1"/>
  <c r="BQ68" i="69"/>
  <c r="AO68" i="69" a="1"/>
  <c r="AO68" i="69" s="1"/>
  <c r="BQ93" i="72" a="1"/>
  <c r="BQ93" i="72" s="1"/>
  <c r="AI93" i="72"/>
  <c r="BT93" i="72"/>
  <c r="AN93" i="72"/>
  <c r="BD93" i="72"/>
  <c r="BG93" i="72"/>
  <c r="R93" i="72"/>
  <c r="BM93" i="72" a="1"/>
  <c r="BM93" i="72" s="1"/>
  <c r="AK93" i="72"/>
  <c r="BQ65" i="72" a="1"/>
  <c r="BQ65" i="72" s="1"/>
  <c r="AM65" i="72"/>
  <c r="BE32" i="72"/>
  <c r="AG32" i="72" s="1" a="1"/>
  <c r="AG32" i="72" s="1"/>
  <c r="BF32" i="72"/>
  <c r="AJ32" i="72"/>
  <c r="AT32" i="72" a="1"/>
  <c r="AT32" i="72" s="1"/>
  <c r="BV32" i="72"/>
  <c r="BQ33" i="69"/>
  <c r="AO33" i="69" a="1"/>
  <c r="AO33" i="69" s="1"/>
  <c r="C39" i="72"/>
  <c r="D39" i="72" s="1" a="1"/>
  <c r="D39" i="72" s="1"/>
  <c r="U71" i="72" a="1"/>
  <c r="U71" i="72" s="1"/>
  <c r="BO71" i="72"/>
  <c r="BR71" i="72" s="1"/>
  <c r="BE71" i="72"/>
  <c r="AG71" i="72" s="1" a="1"/>
  <c r="AG71" i="72" s="1"/>
  <c r="BF71" i="72"/>
  <c r="AJ71" i="72"/>
  <c r="O42" i="72"/>
  <c r="AP94" i="72" a="1"/>
  <c r="AP94" i="72" s="1"/>
  <c r="AQ31" i="4"/>
  <c r="AR31" i="4"/>
  <c r="BQ81" i="69"/>
  <c r="AO81" i="69" a="1"/>
  <c r="AO81" i="69" s="1"/>
  <c r="AP78" i="69" a="1"/>
  <c r="AP78" i="69" s="1"/>
  <c r="AH78" i="69" a="1"/>
  <c r="AH78" i="69" s="1"/>
  <c r="AV78" i="69" a="1"/>
  <c r="AV78" i="69" s="1"/>
  <c r="AF78" i="69" a="1"/>
  <c r="AF78" i="69" s="1"/>
  <c r="AL78" i="69" a="1"/>
  <c r="AL78" i="69" s="1"/>
  <c r="AU78" i="69" a="1"/>
  <c r="AU78" i="69" s="1"/>
  <c r="AJ78" i="69" a="1"/>
  <c r="AJ78" i="69" s="1"/>
  <c r="AI78" i="69" a="1"/>
  <c r="AI78" i="69" s="1"/>
  <c r="AP30" i="69" a="1"/>
  <c r="AP30" i="69" s="1"/>
  <c r="AH30" i="69" a="1"/>
  <c r="AH30" i="69" s="1"/>
  <c r="AF30" i="69" a="1"/>
  <c r="AF30" i="69" s="1"/>
  <c r="AR30" i="69" a="1"/>
  <c r="AR30" i="69" s="1"/>
  <c r="AV30" i="69" a="1"/>
  <c r="AV30" i="69" s="1"/>
  <c r="AL30" i="69" a="1"/>
  <c r="AL30" i="69" s="1"/>
  <c r="AU30" i="69" a="1"/>
  <c r="AU30" i="69" s="1"/>
  <c r="AG30" i="69" a="1"/>
  <c r="AG30" i="69" s="1"/>
  <c r="AJ30" i="69" a="1"/>
  <c r="AJ30" i="69" s="1"/>
  <c r="O44" i="69"/>
  <c r="AZ26" i="69"/>
  <c r="AI26" i="69" s="1" a="1"/>
  <c r="AI26" i="69" s="1"/>
  <c r="BA26" i="69"/>
  <c r="BJ26" i="69"/>
  <c r="BM26" i="69" s="1"/>
  <c r="X40" i="4"/>
  <c r="I60" i="69"/>
  <c r="AQ27" i="4"/>
  <c r="AR27" i="4"/>
  <c r="AV578" i="13"/>
  <c r="BH76" i="4"/>
  <c r="DV76" i="4"/>
  <c r="BL76" i="4"/>
  <c r="BT106" i="4" s="1"/>
  <c r="AX1474" i="13"/>
  <c r="Z1578" i="13"/>
  <c r="A1573" i="13"/>
  <c r="BV69" i="72"/>
  <c r="AT69" i="72" a="1"/>
  <c r="AT69" i="72" s="1"/>
  <c r="BA78" i="72" a="1"/>
  <c r="BA78" i="72" s="1"/>
  <c r="AL78" i="72" a="1"/>
  <c r="AL78" i="72" s="1"/>
  <c r="AF78" i="72" a="1"/>
  <c r="AF78" i="72" s="1"/>
  <c r="AO78" i="72" a="1"/>
  <c r="AO78" i="72" s="1"/>
  <c r="AU78" i="72" a="1"/>
  <c r="AU78" i="72" s="1"/>
  <c r="AZ78" i="72" a="1"/>
  <c r="AZ78" i="72" s="1"/>
  <c r="AQ78" i="72" a="1"/>
  <c r="AQ78" i="72" s="1"/>
  <c r="K30" i="72" a="1"/>
  <c r="K30" i="72" s="1"/>
  <c r="BQ30" i="72" a="1"/>
  <c r="BQ30" i="72" s="1"/>
  <c r="BG30" i="72"/>
  <c r="AW30" i="72" s="1" a="1"/>
  <c r="AW30" i="72" s="1"/>
  <c r="AN30" i="72"/>
  <c r="AI30" i="72"/>
  <c r="BT30" i="72"/>
  <c r="BD30" i="72"/>
  <c r="BM30" i="72" a="1"/>
  <c r="BM30" i="72" s="1"/>
  <c r="R30" i="72"/>
  <c r="AP30" i="72" a="1"/>
  <c r="AP30" i="72" s="1"/>
  <c r="BN30" i="72" a="1"/>
  <c r="BN30" i="72" s="1"/>
  <c r="BA72" i="69"/>
  <c r="AZ72" i="69"/>
  <c r="AG72" i="69" s="1" a="1"/>
  <c r="AG72" i="69" s="1"/>
  <c r="BO75" i="72"/>
  <c r="BR75" i="72" s="1"/>
  <c r="BO67" i="72"/>
  <c r="BR67" i="72" s="1"/>
  <c r="BN82" i="69"/>
  <c r="AZ82" i="69"/>
  <c r="AG82" i="69" s="1" a="1"/>
  <c r="AG82" i="69" s="1"/>
  <c r="BA82" i="69"/>
  <c r="BV36" i="72"/>
  <c r="AT36" i="72" a="1"/>
  <c r="AT36" i="72" s="1"/>
  <c r="C44" i="72"/>
  <c r="D44" i="72" s="1" a="1"/>
  <c r="D44" i="72" s="1"/>
  <c r="BL36" i="69" a="1"/>
  <c r="BL36" i="69" s="1"/>
  <c r="BH36" i="69" a="1"/>
  <c r="BH36" i="69" s="1"/>
  <c r="AY36" i="69"/>
  <c r="R36" i="69"/>
  <c r="BO36" i="69"/>
  <c r="BB36" i="69"/>
  <c r="AK36" i="69" a="1"/>
  <c r="AK36" i="69" s="1"/>
  <c r="O28" i="72"/>
  <c r="BO28" i="72"/>
  <c r="BR28" i="72" s="1"/>
  <c r="BF28" i="72"/>
  <c r="AJ28" i="72"/>
  <c r="BE28" i="72"/>
  <c r="AG28" i="72" s="1" a="1"/>
  <c r="AG28" i="72" s="1"/>
  <c r="AD51" i="69"/>
  <c r="AY56" i="72" a="1"/>
  <c r="AY56" i="72" s="1"/>
  <c r="A1559" i="13"/>
  <c r="AX1460" i="13"/>
  <c r="Z1564" i="13"/>
  <c r="A1455" i="13"/>
  <c r="AX1356" i="13"/>
  <c r="BQ69" i="69"/>
  <c r="AO69" i="69" a="1"/>
  <c r="AO69" i="69" s="1"/>
  <c r="B89" i="69"/>
  <c r="BF47" i="72"/>
  <c r="BO47" i="72"/>
  <c r="BR47" i="72" s="1"/>
  <c r="BE47" i="72"/>
  <c r="AK47" i="72" s="1"/>
  <c r="AJ47" i="72"/>
  <c r="BK13" i="69"/>
  <c r="BJ13" i="69" s="1"/>
  <c r="BM13" i="69" s="1"/>
  <c r="AY13" i="69"/>
  <c r="BO13" i="69"/>
  <c r="BB13" i="69"/>
  <c r="AR13" i="69" s="1" a="1"/>
  <c r="AR13" i="69" s="1"/>
  <c r="AK13" i="69" a="1"/>
  <c r="AK13" i="69" s="1"/>
  <c r="BH13" i="69" a="1"/>
  <c r="BH13" i="69" s="1"/>
  <c r="R13" i="69"/>
  <c r="AJ13" i="69" s="1" a="1"/>
  <c r="AJ13" i="69" s="1"/>
  <c r="BI13" i="69" a="1"/>
  <c r="BI13" i="69" s="1"/>
  <c r="BH50" i="72"/>
  <c r="AY67" i="69"/>
  <c r="BO67" i="69"/>
  <c r="BH67" i="69" a="1"/>
  <c r="BH67" i="69" s="1"/>
  <c r="R67" i="69"/>
  <c r="BB67" i="69"/>
  <c r="AR67" i="69" s="1" a="1"/>
  <c r="AR67" i="69" s="1"/>
  <c r="BI67" i="69" a="1"/>
  <c r="BI67" i="69" s="1"/>
  <c r="AK67" i="69" a="1"/>
  <c r="AK67" i="69" s="1"/>
  <c r="R82" i="72"/>
  <c r="BG82" i="72"/>
  <c r="BM82" i="72" a="1"/>
  <c r="BM82" i="72" s="1"/>
  <c r="BD82" i="72"/>
  <c r="AN82" i="72"/>
  <c r="BT82" i="72"/>
  <c r="BN82" i="72" a="1"/>
  <c r="BN82" i="72" s="1"/>
  <c r="AP82" i="72" a="1"/>
  <c r="AP82" i="72" s="1"/>
  <c r="BO53" i="72"/>
  <c r="BR53" i="72" s="1"/>
  <c r="BD27" i="69"/>
  <c r="BD50" i="69"/>
  <c r="AX1464" i="13"/>
  <c r="Z1568" i="13"/>
  <c r="A1563" i="13"/>
  <c r="G80" i="69"/>
  <c r="S61" i="69"/>
  <c r="B61" i="69"/>
  <c r="E76" i="72"/>
  <c r="BH80" i="4"/>
  <c r="BH61" i="4"/>
  <c r="X55" i="72"/>
  <c r="K66" i="72" s="1" a="1"/>
  <c r="K66" i="72" s="1"/>
  <c r="X55" i="69"/>
  <c r="BF61" i="4"/>
  <c r="BF70" i="4"/>
  <c r="X75" i="4"/>
  <c r="BG75" i="4"/>
  <c r="AV1173" i="13" s="1"/>
  <c r="BR75" i="4"/>
  <c r="L75" i="4"/>
  <c r="X23" i="4"/>
  <c r="BG23" i="4"/>
  <c r="AV1121" i="13" s="1"/>
  <c r="BR23" i="4"/>
  <c r="BF23" i="69" s="1"/>
  <c r="BQ194" i="4"/>
  <c r="AZ103" i="4"/>
  <c r="BA103" i="4"/>
  <c r="Z1772" i="13" s="1"/>
  <c r="BH101" i="4"/>
  <c r="BF71" i="4"/>
  <c r="AD55" i="4"/>
  <c r="BF56" i="4"/>
  <c r="O60" i="14" l="1"/>
  <c r="X36" i="14"/>
  <c r="M36" i="14"/>
  <c r="U36" i="14"/>
  <c r="BI23" i="72"/>
  <c r="AP41" i="72" a="1"/>
  <c r="AP41" i="72" s="1"/>
  <c r="AJ33" i="69" a="1"/>
  <c r="AJ33" i="69" s="1"/>
  <c r="BI89" i="69" a="1"/>
  <c r="BI89" i="69" s="1"/>
  <c r="L60" i="14"/>
  <c r="AV19" i="69" a="1"/>
  <c r="AV19" i="69" s="1"/>
  <c r="AK71" i="69" a="1"/>
  <c r="AK71" i="69" s="1"/>
  <c r="AF32" i="72" a="1"/>
  <c r="AF32" i="72" s="1"/>
  <c r="AP18" i="69" a="1"/>
  <c r="AP18" i="69" s="1"/>
  <c r="AL18" i="69" a="1"/>
  <c r="AL18" i="69" s="1"/>
  <c r="AO19" i="72" a="1"/>
  <c r="AO19" i="72" s="1"/>
  <c r="V36" i="14"/>
  <c r="AJ19" i="69" a="1"/>
  <c r="AJ19" i="69" s="1"/>
  <c r="AG24" i="69" a="1"/>
  <c r="AG24" i="69" s="1"/>
  <c r="AU68" i="72" a="1"/>
  <c r="AU68" i="72" s="1"/>
  <c r="AL68" i="72" a="1"/>
  <c r="AL68" i="72" s="1"/>
  <c r="W60" i="14"/>
  <c r="M60" i="14"/>
  <c r="J60" i="14"/>
  <c r="AX33" i="72" a="1"/>
  <c r="AX33" i="72" s="1"/>
  <c r="T60" i="14"/>
  <c r="S60" i="14"/>
  <c r="U60" i="14"/>
  <c r="Z36" i="14"/>
  <c r="Q60" i="14"/>
  <c r="J36" i="14"/>
  <c r="I60" i="14"/>
  <c r="W36" i="14"/>
  <c r="N60" i="14"/>
  <c r="G36" i="14"/>
  <c r="G60" i="14"/>
  <c r="Q36" i="14"/>
  <c r="P36" i="14"/>
  <c r="O36" i="14"/>
  <c r="H36" i="14"/>
  <c r="S36" i="14"/>
  <c r="N36" i="14"/>
  <c r="K60" i="14"/>
  <c r="H60" i="14"/>
  <c r="AV41" i="72" a="1"/>
  <c r="AV41" i="72" s="1"/>
  <c r="AS71" i="69" a="1"/>
  <c r="AS71" i="69" s="1"/>
  <c r="AP19" i="69" a="1"/>
  <c r="AP19" i="69" s="1"/>
  <c r="AH71" i="69" a="1"/>
  <c r="AH71" i="69" s="1"/>
  <c r="AF68" i="72" a="1"/>
  <c r="AF68" i="72" s="1"/>
  <c r="AX68" i="72" a="1"/>
  <c r="AX68" i="72" s="1"/>
  <c r="AL84" i="69" a="1"/>
  <c r="AL84" i="69" s="1"/>
  <c r="AL71" i="69" a="1"/>
  <c r="AL71" i="69" s="1"/>
  <c r="BI33" i="69" a="1"/>
  <c r="BI33" i="69" s="1"/>
  <c r="Z60" i="14"/>
  <c r="P60" i="14"/>
  <c r="F60" i="14"/>
  <c r="BN33" i="72" a="1"/>
  <c r="BN33" i="72" s="1"/>
  <c r="I35" i="14"/>
  <c r="V35" i="14"/>
  <c r="W35" i="14"/>
  <c r="K35" i="14"/>
  <c r="M35" i="14"/>
  <c r="H35" i="14"/>
  <c r="Z35" i="14"/>
  <c r="Y35" i="14"/>
  <c r="P35" i="14"/>
  <c r="F35" i="14"/>
  <c r="R35" i="14"/>
  <c r="L35" i="14"/>
  <c r="N35" i="14"/>
  <c r="J35" i="14"/>
  <c r="U35" i="14"/>
  <c r="O35" i="14"/>
  <c r="G35" i="14"/>
  <c r="Q35" i="14"/>
  <c r="T35" i="14"/>
  <c r="S35" i="14"/>
  <c r="X35" i="14"/>
  <c r="R60" i="14"/>
  <c r="I36" i="14"/>
  <c r="F36" i="14"/>
  <c r="Y60" i="14"/>
  <c r="R36" i="14"/>
  <c r="V60" i="14"/>
  <c r="AS19" i="69" a="1"/>
  <c r="AS19" i="69" s="1"/>
  <c r="AG42" i="72" a="1"/>
  <c r="AG42" i="72" s="1"/>
  <c r="AH19" i="69" a="1"/>
  <c r="AH19" i="69" s="1"/>
  <c r="AZ68" i="72" a="1"/>
  <c r="AZ68" i="72" s="1"/>
  <c r="AP16" i="72" a="1"/>
  <c r="AP16" i="72" s="1"/>
  <c r="AR16" i="69" a="1"/>
  <c r="AR16" i="69" s="1"/>
  <c r="I603" i="15" a="1"/>
  <c r="I603" i="15" s="1"/>
  <c r="I270" i="15" a="1"/>
  <c r="I270" i="15" s="1"/>
  <c r="H419" i="15" a="1"/>
  <c r="H419" i="15" s="1"/>
  <c r="I355" i="15" a="1"/>
  <c r="I355" i="15" s="1"/>
  <c r="I340" i="15" a="1"/>
  <c r="I340" i="15" s="1"/>
  <c r="I400" i="15" a="1"/>
  <c r="I400" i="15" s="1"/>
  <c r="H422" i="15" a="1"/>
  <c r="H422" i="15" s="1"/>
  <c r="I432" i="15" a="1"/>
  <c r="I432" i="15" s="1"/>
  <c r="F425" i="15" a="1"/>
  <c r="F425" i="15" s="1"/>
  <c r="I283" i="15" a="1"/>
  <c r="I283" i="15" s="1"/>
  <c r="I299" i="15" a="1"/>
  <c r="I299" i="15" s="1"/>
  <c r="I281" i="15" a="1"/>
  <c r="I281" i="15" s="1"/>
  <c r="I390" i="15" a="1"/>
  <c r="I390" i="15" s="1"/>
  <c r="I540" i="15" a="1"/>
  <c r="I540" i="15" s="1"/>
  <c r="I481" i="15" a="1"/>
  <c r="I481" i="15" s="1"/>
  <c r="I446" i="15" a="1"/>
  <c r="I446" i="15" s="1"/>
  <c r="H425" i="15" a="1"/>
  <c r="H425" i="15" s="1"/>
  <c r="I265" i="15" a="1"/>
  <c r="I265" i="15" s="1"/>
  <c r="I254" i="15" a="1"/>
  <c r="I254" i="15" s="1"/>
  <c r="I279" i="15" a="1"/>
  <c r="I279" i="15" s="1"/>
  <c r="I278" i="15" a="1"/>
  <c r="I278" i="15" s="1"/>
  <c r="I361" i="15" a="1"/>
  <c r="I361" i="15" s="1"/>
  <c r="I261" i="15" a="1"/>
  <c r="I261" i="15" s="1"/>
  <c r="I326" i="15" a="1"/>
  <c r="I326" i="15" s="1"/>
  <c r="I516" i="15" a="1"/>
  <c r="I516" i="15" s="1"/>
  <c r="I479" i="15" a="1"/>
  <c r="I479" i="15" s="1"/>
  <c r="I399" i="15" a="1"/>
  <c r="I399" i="15" s="1"/>
  <c r="I327" i="15" a="1"/>
  <c r="I327" i="15" s="1"/>
  <c r="I594" i="15" a="1"/>
  <c r="I594" i="15" s="1"/>
  <c r="I490" i="15" a="1"/>
  <c r="I490" i="15" s="1"/>
  <c r="I531" i="15" a="1"/>
  <c r="I531" i="15" s="1"/>
  <c r="I588" i="15" a="1"/>
  <c r="I588" i="15" s="1"/>
  <c r="I306" i="15" a="1"/>
  <c r="I306" i="15" s="1"/>
  <c r="I509" i="15" a="1"/>
  <c r="I509" i="15" s="1"/>
  <c r="I519" i="15" a="1"/>
  <c r="I519" i="15" s="1"/>
  <c r="I560" i="15" a="1"/>
  <c r="I560" i="15" s="1"/>
  <c r="I549" i="15" a="1"/>
  <c r="I549" i="15" s="1"/>
  <c r="I433" i="15" a="1"/>
  <c r="I433" i="15" s="1"/>
  <c r="I474" i="15" a="1"/>
  <c r="I474" i="15" s="1"/>
  <c r="AS92" i="69" a="1"/>
  <c r="AS92" i="69" s="1"/>
  <c r="AI34" i="69" a="1"/>
  <c r="AI34" i="69" s="1"/>
  <c r="AP46" i="69" a="1"/>
  <c r="AP46" i="69" s="1"/>
  <c r="AU92" i="69" a="1"/>
  <c r="AU92" i="69" s="1"/>
  <c r="AJ47" i="69" a="1"/>
  <c r="AJ47" i="69" s="1"/>
  <c r="AO8" i="69" a="1"/>
  <c r="AO8" i="69" s="1"/>
  <c r="K60" i="69" a="1"/>
  <c r="K60" i="69" s="1"/>
  <c r="B7" i="27"/>
  <c r="B10" i="27"/>
  <c r="C36" i="23"/>
  <c r="B36" i="23"/>
  <c r="AL85" i="72" a="1"/>
  <c r="AL85" i="72" s="1"/>
  <c r="AI56" i="69" a="1"/>
  <c r="AI56" i="69" s="1"/>
  <c r="AS84" i="69" a="1"/>
  <c r="AS84" i="69" s="1"/>
  <c r="AU32" i="72" a="1"/>
  <c r="AU32" i="72" s="1"/>
  <c r="AH97" i="4"/>
  <c r="BI84" i="69" a="1"/>
  <c r="BI84" i="69" s="1"/>
  <c r="E60" i="69"/>
  <c r="AQ62" i="69" a="1"/>
  <c r="AQ62" i="69" s="1"/>
  <c r="AR7" i="69" a="1"/>
  <c r="AR7" i="69" s="1"/>
  <c r="AP47" i="69" a="1"/>
  <c r="AP47" i="69" s="1"/>
  <c r="AV18" i="69" a="1"/>
  <c r="AV18" i="69" s="1"/>
  <c r="AO45" i="69" a="1"/>
  <c r="AO45" i="69" s="1"/>
  <c r="AF19" i="69" a="1"/>
  <c r="AF19" i="69" s="1"/>
  <c r="AW78" i="72" a="1"/>
  <c r="AW78" i="72" s="1"/>
  <c r="BA33" i="72" a="1"/>
  <c r="BA33" i="72" s="1"/>
  <c r="BA68" i="72" a="1"/>
  <c r="BA68" i="72" s="1"/>
  <c r="AI63" i="69" a="1"/>
  <c r="AI63" i="69" s="1"/>
  <c r="AF92" i="69" a="1"/>
  <c r="AF92" i="69" s="1"/>
  <c r="AR12" i="69" a="1"/>
  <c r="AR12" i="69" s="1"/>
  <c r="AW53" i="72" a="1"/>
  <c r="AW53" i="72" s="1"/>
  <c r="AH92" i="69" a="1"/>
  <c r="AH92" i="69" s="1"/>
  <c r="BR95" i="4"/>
  <c r="G102" i="15"/>
  <c r="AW71" i="72" a="1"/>
  <c r="AW71" i="72" s="1"/>
  <c r="AL92" i="69" a="1"/>
  <c r="AL92" i="69" s="1"/>
  <c r="G107" i="15"/>
  <c r="BR81" i="4"/>
  <c r="AQ78" i="69" a="1"/>
  <c r="AQ78" i="69" s="1"/>
  <c r="AF13" i="69" a="1"/>
  <c r="AF13" i="69" s="1"/>
  <c r="AL46" i="69" a="1"/>
  <c r="AL46" i="69" s="1"/>
  <c r="AQ33" i="72" a="1"/>
  <c r="AQ33" i="72" s="1"/>
  <c r="X94" i="4"/>
  <c r="X78" i="4"/>
  <c r="X70" i="4"/>
  <c r="BA28" i="72" a="1"/>
  <c r="BA28" i="72" s="1"/>
  <c r="AU19" i="69" a="1"/>
  <c r="AU19" i="69" s="1"/>
  <c r="AF18" i="69" a="1"/>
  <c r="AF18" i="69" s="1"/>
  <c r="BI46" i="69" a="1"/>
  <c r="BI46" i="69" s="1"/>
  <c r="AR88" i="69" a="1"/>
  <c r="AR88" i="69" s="1"/>
  <c r="AL6" i="69" a="1"/>
  <c r="AL6" i="69" s="1"/>
  <c r="AU33" i="72" a="1"/>
  <c r="AU33" i="72" s="1"/>
  <c r="BI74" i="69" a="1"/>
  <c r="BI74" i="69" s="1"/>
  <c r="AP53" i="72" a="1"/>
  <c r="AP53" i="72" s="1"/>
  <c r="AZ32" i="72" a="1"/>
  <c r="AZ32" i="72" s="1"/>
  <c r="AL33" i="72" a="1"/>
  <c r="AL33" i="72" s="1"/>
  <c r="AI22" i="69" a="1"/>
  <c r="AI22" i="69" s="1"/>
  <c r="AF84" i="69" a="1"/>
  <c r="AF84" i="69" s="1"/>
  <c r="AH33" i="69" a="1"/>
  <c r="AH33" i="69" s="1"/>
  <c r="AQ28" i="72" a="1"/>
  <c r="AQ28" i="72" s="1"/>
  <c r="AO13" i="69" a="1"/>
  <c r="AO13" i="69" s="1"/>
  <c r="AF46" i="69" a="1"/>
  <c r="AF46" i="69" s="1"/>
  <c r="AO59" i="69" a="1"/>
  <c r="AO59" i="69" s="1"/>
  <c r="AQ29" i="69" a="1"/>
  <c r="AQ29" i="69" s="1"/>
  <c r="AV48" i="69" a="1"/>
  <c r="AV48" i="69" s="1"/>
  <c r="AU84" i="69" a="1"/>
  <c r="AU84" i="69" s="1"/>
  <c r="AK19" i="69" a="1"/>
  <c r="AK19" i="69" s="1"/>
  <c r="AH18" i="69" a="1"/>
  <c r="AH18" i="69" s="1"/>
  <c r="AU6" i="69" a="1"/>
  <c r="AU6" i="69" s="1"/>
  <c r="AO32" i="72" a="1"/>
  <c r="AO32" i="72" s="1"/>
  <c r="AP36" i="72" a="1"/>
  <c r="AP36" i="72" s="1"/>
  <c r="AU47" i="69" a="1"/>
  <c r="AU47" i="69" s="1"/>
  <c r="AF47" i="69" a="1"/>
  <c r="AF47" i="69" s="1"/>
  <c r="AO67" i="69" a="1"/>
  <c r="AO67" i="69" s="1"/>
  <c r="AF65" i="72" a="1"/>
  <c r="AF65" i="72" s="1"/>
  <c r="AO37" i="69" a="1"/>
  <c r="AO37" i="69" s="1"/>
  <c r="AL47" i="69" a="1"/>
  <c r="AL47" i="69" s="1"/>
  <c r="AV47" i="69" a="1"/>
  <c r="AV47" i="69" s="1"/>
  <c r="AT62" i="72" a="1"/>
  <c r="AT62" i="72" s="1"/>
  <c r="AF28" i="72" a="1"/>
  <c r="AF28" i="72" s="1"/>
  <c r="AH13" i="69" a="1"/>
  <c r="AH13" i="69" s="1"/>
  <c r="AJ84" i="69" a="1"/>
  <c r="AJ84" i="69" s="1"/>
  <c r="AQ57" i="69" a="1"/>
  <c r="AQ57" i="69" s="1"/>
  <c r="AS6" i="69" a="1"/>
  <c r="AS6" i="69" s="1"/>
  <c r="AP6" i="69" a="1"/>
  <c r="AP6" i="69" s="1"/>
  <c r="AH6" i="69" a="1"/>
  <c r="AH6" i="69" s="1"/>
  <c r="AZ33" i="72" a="1"/>
  <c r="AZ33" i="72" s="1"/>
  <c r="AF62" i="72" a="1"/>
  <c r="AF62" i="72" s="1"/>
  <c r="BA32" i="72" a="1"/>
  <c r="BA32" i="72" s="1"/>
  <c r="AJ52" i="69" a="1"/>
  <c r="AJ52" i="69" s="1"/>
  <c r="AH5" i="69" a="1"/>
  <c r="AH5" i="69" s="1"/>
  <c r="AU28" i="72" a="1"/>
  <c r="AU28" i="72" s="1"/>
  <c r="AH47" i="69" a="1"/>
  <c r="AH47" i="69" s="1"/>
  <c r="AS18" i="69" a="1"/>
  <c r="AS18" i="69" s="1"/>
  <c r="AO28" i="72" a="1"/>
  <c r="AO28" i="72" s="1"/>
  <c r="AP52" i="69" a="1"/>
  <c r="AP52" i="69" s="1"/>
  <c r="AP92" i="69" a="1"/>
  <c r="AP92" i="69" s="1"/>
  <c r="AU48" i="69" a="1"/>
  <c r="AU48" i="69" s="1"/>
  <c r="AJ46" i="69" a="1"/>
  <c r="AJ46" i="69" s="1"/>
  <c r="AV6" i="69" a="1"/>
  <c r="AV6" i="69" s="1"/>
  <c r="AL5" i="72" a="1"/>
  <c r="AL5" i="72" s="1"/>
  <c r="AL13" i="69" a="1"/>
  <c r="AL13" i="69" s="1"/>
  <c r="AO6" i="69" a="1"/>
  <c r="AO6" i="69" s="1"/>
  <c r="BN6" i="72" a="1"/>
  <c r="BN6" i="72" s="1"/>
  <c r="AP33" i="69" a="1"/>
  <c r="AP33" i="69" s="1"/>
  <c r="AX62" i="72" a="1"/>
  <c r="AX62" i="72" s="1"/>
  <c r="AX6" i="72" a="1"/>
  <c r="AX6" i="72" s="1"/>
  <c r="AS85" i="69" a="1"/>
  <c r="AS85" i="69" s="1"/>
  <c r="AI89" i="69" a="1"/>
  <c r="AI89" i="69" s="1"/>
  <c r="AV85" i="69" a="1"/>
  <c r="AV85" i="69" s="1"/>
  <c r="AQ65" i="72" a="1"/>
  <c r="AQ65" i="72" s="1"/>
  <c r="AL85" i="69" a="1"/>
  <c r="AL85" i="69" s="1"/>
  <c r="AL5" i="69" a="1"/>
  <c r="AL5" i="69" s="1"/>
  <c r="AZ62" i="72" a="1"/>
  <c r="AZ62" i="72" s="1"/>
  <c r="AU5" i="69" a="1"/>
  <c r="AU5" i="69" s="1"/>
  <c r="AU62" i="72" a="1"/>
  <c r="AU62" i="72" s="1"/>
  <c r="AI25" i="69" a="1"/>
  <c r="AI25" i="69" s="1"/>
  <c r="AQ5" i="72" a="1"/>
  <c r="AQ5" i="72" s="1"/>
  <c r="AH46" i="69" a="1"/>
  <c r="AH46" i="69" s="1"/>
  <c r="AL6" i="72" a="1"/>
  <c r="AL6" i="72" s="1"/>
  <c r="AI65" i="69" a="1"/>
  <c r="AI65" i="69" s="1"/>
  <c r="AK29" i="69" a="1"/>
  <c r="AK29" i="69" s="1"/>
  <c r="AS52" i="69" a="1"/>
  <c r="AS52" i="69" s="1"/>
  <c r="AJ85" i="69" a="1"/>
  <c r="AJ85" i="69" s="1"/>
  <c r="AU52" i="69" a="1"/>
  <c r="AU52" i="69" s="1"/>
  <c r="AO36" i="72" a="1"/>
  <c r="AO36" i="72" s="1"/>
  <c r="AI20" i="69" a="1"/>
  <c r="AI20" i="69" s="1"/>
  <c r="Z97" i="4"/>
  <c r="AH85" i="69" a="1"/>
  <c r="AH85" i="69" s="1"/>
  <c r="AP79" i="69" a="1"/>
  <c r="AP79" i="69" s="1"/>
  <c r="AO62" i="72" a="1"/>
  <c r="AO62" i="72" s="1"/>
  <c r="AS5" i="69" a="1"/>
  <c r="AS5" i="69" s="1"/>
  <c r="AH79" i="69" a="1"/>
  <c r="AH79" i="69" s="1"/>
  <c r="AU13" i="69" a="1"/>
  <c r="AU13" i="69" s="1"/>
  <c r="AU54" i="72" a="1"/>
  <c r="AU54" i="72" s="1"/>
  <c r="AU79" i="69" a="1"/>
  <c r="AU79" i="69" s="1"/>
  <c r="AU39" i="69" a="1"/>
  <c r="AU39" i="69" s="1"/>
  <c r="AP84" i="69" a="1"/>
  <c r="AP84" i="69" s="1"/>
  <c r="BN41" i="72" a="1"/>
  <c r="BN41" i="72" s="1"/>
  <c r="AH84" i="69" a="1"/>
  <c r="AH84" i="69" s="1"/>
  <c r="AU6" i="72" a="1"/>
  <c r="AU6" i="72" s="1"/>
  <c r="BN87" i="72" a="1"/>
  <c r="BN87" i="72" s="1"/>
  <c r="AU33" i="69" a="1"/>
  <c r="AU33" i="69" s="1"/>
  <c r="AU5" i="72" a="1"/>
  <c r="AU5" i="72" s="1"/>
  <c r="AS41" i="69" a="1"/>
  <c r="AS41" i="69" s="1"/>
  <c r="AF6" i="72" a="1"/>
  <c r="AF6" i="72" s="1"/>
  <c r="AP5" i="69" a="1"/>
  <c r="AP5" i="69" s="1"/>
  <c r="AL62" i="72" a="1"/>
  <c r="AL62" i="72" s="1"/>
  <c r="AP89" i="69" a="1"/>
  <c r="AP89" i="69" s="1"/>
  <c r="AS33" i="69" a="1"/>
  <c r="AS33" i="69" s="1"/>
  <c r="AV33" i="69" a="1"/>
  <c r="AV33" i="69" s="1"/>
  <c r="AJ6" i="69" a="1"/>
  <c r="AJ6" i="69" s="1"/>
  <c r="AV45" i="69" a="1"/>
  <c r="AV45" i="69" s="1"/>
  <c r="AS39" i="69" a="1"/>
  <c r="AS39" i="69" s="1"/>
  <c r="AU65" i="72" a="1"/>
  <c r="AU65" i="72" s="1"/>
  <c r="AX5" i="72" a="1"/>
  <c r="AX5" i="72" s="1"/>
  <c r="AQ62" i="72" a="1"/>
  <c r="AQ62" i="72" s="1"/>
  <c r="AQ6" i="72" a="1"/>
  <c r="AQ6" i="72" s="1"/>
  <c r="AV5" i="69" a="1"/>
  <c r="AV5" i="69" s="1"/>
  <c r="AO30" i="72" a="1"/>
  <c r="AO30" i="72" s="1"/>
  <c r="AL41" i="69" a="1"/>
  <c r="AL41" i="69" s="1"/>
  <c r="BA5" i="72" a="1"/>
  <c r="BA5" i="72" s="1"/>
  <c r="AJ48" i="69" a="1"/>
  <c r="AJ48" i="69" s="1"/>
  <c r="AH39" i="69" a="1"/>
  <c r="AH39" i="69" s="1"/>
  <c r="AT5" i="72" a="1"/>
  <c r="AT5" i="72" s="1"/>
  <c r="AH48" i="69" a="1"/>
  <c r="AH48" i="69" s="1"/>
  <c r="BA65" i="72" a="1"/>
  <c r="BA65" i="72" s="1"/>
  <c r="AX19" i="72" a="1"/>
  <c r="AX19" i="72" s="1"/>
  <c r="AU89" i="69" a="1"/>
  <c r="AU89" i="69" s="1"/>
  <c r="AH67" i="69" a="1"/>
  <c r="AH67" i="69" s="1"/>
  <c r="AU70" i="69" a="1"/>
  <c r="AU70" i="69" s="1"/>
  <c r="AV41" i="69" a="1"/>
  <c r="AV41" i="69" s="1"/>
  <c r="AF89" i="69" a="1"/>
  <c r="AF89" i="69" s="1"/>
  <c r="AJ70" i="69" a="1"/>
  <c r="AJ70" i="69" s="1"/>
  <c r="AJ41" i="69" a="1"/>
  <c r="AJ41" i="69" s="1"/>
  <c r="AL89" i="69" a="1"/>
  <c r="AL89" i="69" s="1"/>
  <c r="AF70" i="69" a="1"/>
  <c r="AF70" i="69" s="1"/>
  <c r="AU41" i="69" a="1"/>
  <c r="AU41" i="69" s="1"/>
  <c r="AH89" i="69" a="1"/>
  <c r="AH89" i="69" s="1"/>
  <c r="AX28" i="72" a="1"/>
  <c r="AX28" i="72" s="1"/>
  <c r="AX65" i="72" a="1"/>
  <c r="AX65" i="72" s="1"/>
  <c r="AH41" i="69" a="1"/>
  <c r="AH41" i="69" s="1"/>
  <c r="AL79" i="69" a="1"/>
  <c r="AL79" i="69" s="1"/>
  <c r="AP74" i="72" a="1"/>
  <c r="AP74" i="72" s="1"/>
  <c r="AQ30" i="72" a="1"/>
  <c r="AQ30" i="72" s="1"/>
  <c r="AU29" i="69" a="1"/>
  <c r="AU29" i="69" s="1"/>
  <c r="AQ26" i="69" a="1"/>
  <c r="AQ26" i="69" s="1"/>
  <c r="AR81" i="69" a="1"/>
  <c r="AR81" i="69" s="1"/>
  <c r="BI62" i="69" a="1"/>
  <c r="BI62" i="69" s="1"/>
  <c r="AP70" i="69" a="1"/>
  <c r="AP70" i="69" s="1"/>
  <c r="AU30" i="72" a="1"/>
  <c r="AU30" i="72" s="1"/>
  <c r="BA29" i="72" a="1"/>
  <c r="BA29" i="72" s="1"/>
  <c r="AO37" i="72" a="1"/>
  <c r="AO37" i="72" s="1"/>
  <c r="BI29" i="69" a="1"/>
  <c r="BI29" i="69" s="1"/>
  <c r="AS45" i="69" a="1"/>
  <c r="AS45" i="69" s="1"/>
  <c r="AL29" i="69" a="1"/>
  <c r="AL29" i="69" s="1"/>
  <c r="AQ54" i="72" a="1"/>
  <c r="AQ54" i="72" s="1"/>
  <c r="BA30" i="72" a="1"/>
  <c r="BA30" i="72" s="1"/>
  <c r="AH70" i="69" a="1"/>
  <c r="AH70" i="69" s="1"/>
  <c r="AU19" i="72" a="1"/>
  <c r="AU19" i="72" s="1"/>
  <c r="AS79" i="69" a="1"/>
  <c r="AS79" i="69" s="1"/>
  <c r="AL33" i="69" a="1"/>
  <c r="AL33" i="69" s="1"/>
  <c r="BI81" i="69" a="1"/>
  <c r="BI81" i="69" s="1"/>
  <c r="AI16" i="69" a="1"/>
  <c r="AI16" i="69" s="1"/>
  <c r="AK74" i="69" a="1"/>
  <c r="AK74" i="69" s="1"/>
  <c r="BN93" i="72" a="1"/>
  <c r="BN93" i="72" s="1"/>
  <c r="BN24" i="72" a="1"/>
  <c r="BN24" i="72" s="1"/>
  <c r="AK14" i="69" a="1"/>
  <c r="AK14" i="69" s="1"/>
  <c r="AO14" i="69" a="1"/>
  <c r="AO14" i="69" s="1"/>
  <c r="AG14" i="69" a="1"/>
  <c r="AG14" i="69" s="1"/>
  <c r="AS48" i="69" a="1"/>
  <c r="AS48" i="69" s="1"/>
  <c r="AP48" i="69" a="1"/>
  <c r="AP48" i="69" s="1"/>
  <c r="AL28" i="72" a="1"/>
  <c r="AL28" i="72" s="1"/>
  <c r="AQ19" i="72" a="1"/>
  <c r="AQ19" i="72" s="1"/>
  <c r="AJ79" i="69" a="1"/>
  <c r="AJ79" i="69" s="1"/>
  <c r="AF48" i="69" a="1"/>
  <c r="AF48" i="69" s="1"/>
  <c r="AT65" i="72" a="1"/>
  <c r="AT65" i="72" s="1"/>
  <c r="AL19" i="72" a="1"/>
  <c r="AL19" i="72" s="1"/>
  <c r="AG64" i="72" a="1"/>
  <c r="AG64" i="72" s="1"/>
  <c r="AG90" i="69" a="1"/>
  <c r="AG90" i="69" s="1"/>
  <c r="AR74" i="69" a="1"/>
  <c r="AR74" i="69" s="1"/>
  <c r="AS29" i="69" a="1"/>
  <c r="AS29" i="69" s="1"/>
  <c r="AV37" i="69" a="1"/>
  <c r="AV37" i="69" s="1"/>
  <c r="AP29" i="69" a="1"/>
  <c r="AP29" i="69" s="1"/>
  <c r="AU85" i="69" a="1"/>
  <c r="AU85" i="69" s="1"/>
  <c r="AQ29" i="72" a="1"/>
  <c r="AQ29" i="72" s="1"/>
  <c r="AF22" i="69" a="1"/>
  <c r="AF22" i="69" s="1"/>
  <c r="O60" i="72"/>
  <c r="AX29" i="72" a="1"/>
  <c r="AX29" i="72" s="1"/>
  <c r="AX40" i="72" a="1"/>
  <c r="AX40" i="72" s="1"/>
  <c r="AZ65" i="72" a="1"/>
  <c r="AZ65" i="72" s="1"/>
  <c r="AF41" i="69" a="1"/>
  <c r="AF41" i="69" s="1"/>
  <c r="BN74" i="72" a="1"/>
  <c r="BN74" i="72" s="1"/>
  <c r="AU29" i="72" a="1"/>
  <c r="AU29" i="72" s="1"/>
  <c r="AL65" i="72" a="1"/>
  <c r="AL65" i="72" s="1"/>
  <c r="AI51" i="69" a="1"/>
  <c r="AI51" i="69" s="1"/>
  <c r="AR14" i="69" a="1"/>
  <c r="AR14" i="69" s="1"/>
  <c r="AR80" i="69" a="1"/>
  <c r="AR80" i="69" s="1"/>
  <c r="AO29" i="72" a="1"/>
  <c r="AO29" i="72" s="1"/>
  <c r="BA6" i="72" a="1"/>
  <c r="BA6" i="72" s="1"/>
  <c r="AP67" i="69" a="1"/>
  <c r="AP67" i="69" s="1"/>
  <c r="AT11" i="72" a="1"/>
  <c r="AT11" i="72" s="1"/>
  <c r="BN36" i="72" a="1"/>
  <c r="BN36" i="72" s="1"/>
  <c r="AF45" i="69" a="1"/>
  <c r="AF45" i="69" s="1"/>
  <c r="AZ19" i="72" a="1"/>
  <c r="AZ19" i="72" s="1"/>
  <c r="AV79" i="69" a="1"/>
  <c r="AV79" i="69" s="1"/>
  <c r="AU37" i="69" a="1"/>
  <c r="AU37" i="69" s="1"/>
  <c r="AP13" i="69" a="1"/>
  <c r="AP13" i="69" s="1"/>
  <c r="AV46" i="69" a="1"/>
  <c r="AV46" i="69" s="1"/>
  <c r="AL54" i="72" a="1"/>
  <c r="AL54" i="72" s="1"/>
  <c r="BD1770" i="13"/>
  <c r="AZ54" i="72" a="1"/>
  <c r="AZ54" i="72" s="1"/>
  <c r="AU46" i="69" a="1"/>
  <c r="AU46" i="69" s="1"/>
  <c r="AF39" i="69" a="1"/>
  <c r="AF39" i="69" s="1"/>
  <c r="AV39" i="69" a="1"/>
  <c r="AV39" i="69" s="1"/>
  <c r="AV89" i="69" a="1"/>
  <c r="AV89" i="69" s="1"/>
  <c r="AS13" i="69" a="1"/>
  <c r="AS13" i="69" s="1"/>
  <c r="AW36" i="72" a="1"/>
  <c r="AW36" i="72" s="1"/>
  <c r="AP39" i="69" a="1"/>
  <c r="AP39" i="69" s="1"/>
  <c r="D60" i="69" a="1"/>
  <c r="D60" i="69" s="1"/>
  <c r="AO44" i="69" a="1"/>
  <c r="AO44" i="69" s="1"/>
  <c r="AV84" i="72" a="1"/>
  <c r="AV84" i="72" s="1"/>
  <c r="AW39" i="72" a="1"/>
  <c r="AW39" i="72" s="1"/>
  <c r="AQ34" i="69" a="1"/>
  <c r="AQ34" i="69" s="1"/>
  <c r="AP87" i="72" a="1"/>
  <c r="AP87" i="72" s="1"/>
  <c r="AK50" i="72"/>
  <c r="AP22" i="69" a="1"/>
  <c r="AP22" i="69" s="1"/>
  <c r="AR42" i="69" a="1"/>
  <c r="AR42" i="69" s="1"/>
  <c r="AD60" i="72"/>
  <c r="AH37" i="69" a="1"/>
  <c r="AH37" i="69" s="1"/>
  <c r="O60" i="69"/>
  <c r="AG67" i="72" a="1"/>
  <c r="AG67" i="72" s="1"/>
  <c r="AU45" i="69" a="1"/>
  <c r="AU45" i="69" s="1"/>
  <c r="AZ40" i="72" a="1"/>
  <c r="AZ40" i="72" s="1"/>
  <c r="AU53" i="72" a="1"/>
  <c r="AU53" i="72" s="1"/>
  <c r="AP40" i="72" a="1"/>
  <c r="AP40" i="72" s="1"/>
  <c r="AZ53" i="72" a="1"/>
  <c r="AZ53" i="72" s="1"/>
  <c r="AV29" i="69" a="1"/>
  <c r="AV29" i="69" s="1"/>
  <c r="AF37" i="69" a="1"/>
  <c r="AF37" i="69" s="1"/>
  <c r="AX30" i="72" a="1"/>
  <c r="AX30" i="72" s="1"/>
  <c r="AX54" i="72" a="1"/>
  <c r="AX54" i="72" s="1"/>
  <c r="AV70" i="69" a="1"/>
  <c r="AV70" i="69" s="1"/>
  <c r="AH29" i="69" a="1"/>
  <c r="AH29" i="69" s="1"/>
  <c r="AJ37" i="69" a="1"/>
  <c r="AJ37" i="69" s="1"/>
  <c r="AJ29" i="69" a="1"/>
  <c r="AJ29" i="69" s="1"/>
  <c r="AZ29" i="72" a="1"/>
  <c r="AZ29" i="72" s="1"/>
  <c r="AJ39" i="69" a="1"/>
  <c r="AJ39" i="69" s="1"/>
  <c r="AF40" i="72" a="1"/>
  <c r="AF40" i="72" s="1"/>
  <c r="AX53" i="72" a="1"/>
  <c r="AX53" i="72" s="1"/>
  <c r="AZ6" i="72" a="1"/>
  <c r="AZ6" i="72" s="1"/>
  <c r="AF85" i="69" a="1"/>
  <c r="AF85" i="69" s="1"/>
  <c r="AH24" i="69" a="1"/>
  <c r="AH24" i="69" s="1"/>
  <c r="BA36" i="72" a="1"/>
  <c r="BA36" i="72" s="1"/>
  <c r="BK60" i="72"/>
  <c r="BN81" i="72" a="1"/>
  <c r="BN81" i="72" s="1"/>
  <c r="AL29" i="72" a="1"/>
  <c r="AL29" i="72" s="1"/>
  <c r="AQ40" i="72" a="1"/>
  <c r="AQ40" i="72" s="1"/>
  <c r="AL53" i="72" a="1"/>
  <c r="AL53" i="72" s="1"/>
  <c r="AS37" i="69" a="1"/>
  <c r="AS37" i="69" s="1"/>
  <c r="AX76" i="72" a="1"/>
  <c r="AX76" i="72" s="1"/>
  <c r="AS24" i="69" a="1"/>
  <c r="AS24" i="69" s="1"/>
  <c r="AH93" i="69" a="1"/>
  <c r="AH93" i="69" s="1"/>
  <c r="AU40" i="72" a="1"/>
  <c r="AU40" i="72" s="1"/>
  <c r="AO53" i="72" a="1"/>
  <c r="AO53" i="72" s="1"/>
  <c r="AP37" i="69" a="1"/>
  <c r="AP37" i="69" s="1"/>
  <c r="AF76" i="72" a="1"/>
  <c r="AF76" i="72" s="1"/>
  <c r="AP93" i="69" a="1"/>
  <c r="AP93" i="69" s="1"/>
  <c r="AH52" i="69" a="1"/>
  <c r="AH52" i="69" s="1"/>
  <c r="AV1460" i="13"/>
  <c r="AJ45" i="69" a="1"/>
  <c r="AJ45" i="69" s="1"/>
  <c r="AL40" i="72" a="1"/>
  <c r="AL40" i="72" s="1"/>
  <c r="AV52" i="69" a="1"/>
  <c r="AV52" i="69" s="1"/>
  <c r="AU76" i="72" a="1"/>
  <c r="AU76" i="72" s="1"/>
  <c r="AL24" i="69" a="1"/>
  <c r="AL24" i="69" s="1"/>
  <c r="AZ76" i="72" a="1"/>
  <c r="AZ76" i="72" s="1"/>
  <c r="AV24" i="69" a="1"/>
  <c r="AV24" i="69" s="1"/>
  <c r="AL30" i="72" a="1"/>
  <c r="AL30" i="72" s="1"/>
  <c r="BI45" i="69" a="1"/>
  <c r="BI45" i="69" s="1"/>
  <c r="BA53" i="72" a="1"/>
  <c r="BA53" i="72" s="1"/>
  <c r="AQ8" i="72" a="1"/>
  <c r="AQ8" i="72" s="1"/>
  <c r="AU36" i="72" a="1"/>
  <c r="AU36" i="72" s="1"/>
  <c r="AZ30" i="72" a="1"/>
  <c r="AZ30" i="72" s="1"/>
  <c r="AS70" i="69" a="1"/>
  <c r="AS70" i="69" s="1"/>
  <c r="AF53" i="72" a="1"/>
  <c r="AF53" i="72" s="1"/>
  <c r="AF52" i="69" a="1"/>
  <c r="AF52" i="69" s="1"/>
  <c r="AV93" i="69" a="1"/>
  <c r="AV93" i="69" s="1"/>
  <c r="AR61" i="69" a="1"/>
  <c r="AR61" i="69" s="1"/>
  <c r="BC60" i="69"/>
  <c r="AP45" i="69" a="1"/>
  <c r="AP45" i="69" s="1"/>
  <c r="BA8" i="72" a="1"/>
  <c r="BA8" i="72" s="1"/>
  <c r="AV1483" i="13"/>
  <c r="AQ44" i="69" a="1"/>
  <c r="AQ44" i="69" s="1"/>
  <c r="AX36" i="72" a="1"/>
  <c r="AX36" i="72" s="1"/>
  <c r="AJ74" i="69" a="1"/>
  <c r="AJ74" i="69" s="1"/>
  <c r="AQ76" i="72" a="1"/>
  <c r="AQ76" i="72" s="1"/>
  <c r="AP24" i="69" a="1"/>
  <c r="AP24" i="69" s="1"/>
  <c r="BI22" i="69" a="1"/>
  <c r="BI22" i="69" s="1"/>
  <c r="AZ36" i="72" a="1"/>
  <c r="AZ36" i="72" s="1"/>
  <c r="BA76" i="72" a="1"/>
  <c r="BA76" i="72" s="1"/>
  <c r="AU24" i="69" a="1"/>
  <c r="AU24" i="69" s="1"/>
  <c r="AQ36" i="72" a="1"/>
  <c r="AQ36" i="72" s="1"/>
  <c r="AF36" i="72" a="1"/>
  <c r="AF36" i="72" s="1"/>
  <c r="AH45" i="69" a="1"/>
  <c r="AH45" i="69" s="1"/>
  <c r="AG7" i="69" a="1"/>
  <c r="AG7" i="69" s="1"/>
  <c r="AK44" i="69" a="1"/>
  <c r="AK44" i="69" s="1"/>
  <c r="AY60" i="72" a="1"/>
  <c r="AY60" i="72" s="1"/>
  <c r="AJ44" i="69" a="1"/>
  <c r="AJ44" i="69" s="1"/>
  <c r="AF8" i="72" a="1"/>
  <c r="AF8" i="72" s="1"/>
  <c r="AF67" i="69" a="1"/>
  <c r="AF67" i="69" s="1"/>
  <c r="BS23" i="72"/>
  <c r="AV50" i="72" a="1"/>
  <c r="AV50" i="72" s="1"/>
  <c r="O74" i="72"/>
  <c r="O74" i="69"/>
  <c r="BF74" i="69"/>
  <c r="BR61" i="4"/>
  <c r="AD61" i="69" s="1"/>
  <c r="AQ32" i="69" a="1"/>
  <c r="AQ32" i="69" s="1"/>
  <c r="AK93" i="69" a="1"/>
  <c r="AK93" i="69" s="1"/>
  <c r="BN60" i="69"/>
  <c r="X73" i="4"/>
  <c r="K70" i="69" a="1"/>
  <c r="K70" i="69" s="1"/>
  <c r="BN23" i="69"/>
  <c r="AS93" i="69" a="1"/>
  <c r="AS93" i="69" s="1"/>
  <c r="AU93" i="69" a="1"/>
  <c r="AU93" i="69" s="1"/>
  <c r="AG91" i="69" a="1"/>
  <c r="AG91" i="69" s="1"/>
  <c r="AJ93" i="69" a="1"/>
  <c r="AJ93" i="69" s="1"/>
  <c r="AH23" i="72"/>
  <c r="AL8" i="72" a="1"/>
  <c r="AL8" i="72" s="1"/>
  <c r="AL93" i="69" a="1"/>
  <c r="AL93" i="69" s="1"/>
  <c r="BK74" i="72"/>
  <c r="AE60" i="72" a="1"/>
  <c r="AE60" i="72" s="1"/>
  <c r="AX60" i="72" s="1" a="1"/>
  <c r="AX60" i="72" s="1"/>
  <c r="AO65" i="69" a="1"/>
  <c r="AO65" i="69" s="1"/>
  <c r="BI60" i="72"/>
  <c r="AD60" i="69"/>
  <c r="AT60" i="69" a="1"/>
  <c r="AT60" i="69" s="1"/>
  <c r="AT23" i="69" a="1"/>
  <c r="AT23" i="69" s="1"/>
  <c r="AK65" i="69" a="1"/>
  <c r="AK65" i="69" s="1"/>
  <c r="AU22" i="69" a="1"/>
  <c r="AU22" i="69" s="1"/>
  <c r="BN37" i="72" a="1"/>
  <c r="BN37" i="72" s="1"/>
  <c r="AI3" i="1" a="1"/>
  <c r="AI3" i="1" s="1"/>
  <c r="AI101" i="1" s="1"/>
  <c r="D23" i="72" a="1"/>
  <c r="D23" i="72" s="1"/>
  <c r="AZ8" i="72" a="1"/>
  <c r="AZ8" i="72" s="1"/>
  <c r="AL67" i="69" a="1"/>
  <c r="AL67" i="69" s="1"/>
  <c r="AV67" i="69" a="1"/>
  <c r="AV67" i="69" s="1"/>
  <c r="AV1484" i="13"/>
  <c r="BN8" i="72" a="1"/>
  <c r="BN8" i="72" s="1"/>
  <c r="K71" i="72" a="1"/>
  <c r="K71" i="72" s="1"/>
  <c r="AI61" i="69" a="1"/>
  <c r="AI61" i="69" s="1"/>
  <c r="BQ60" i="69"/>
  <c r="AS22" i="69" a="1"/>
  <c r="AS22" i="69" s="1"/>
  <c r="AH22" i="69" a="1"/>
  <c r="AH22" i="69" s="1"/>
  <c r="E60" i="72"/>
  <c r="AI11" i="69" a="1"/>
  <c r="AI11" i="69" s="1"/>
  <c r="BS193" i="4"/>
  <c r="AJ22" i="69" a="1"/>
  <c r="AJ22" i="69" s="1"/>
  <c r="AS67" i="69" a="1"/>
  <c r="AS67" i="69" s="1"/>
  <c r="AV1464" i="13"/>
  <c r="K75" i="69" a="1"/>
  <c r="K75" i="69" s="1"/>
  <c r="K80" i="69" a="1"/>
  <c r="K80" i="69" s="1"/>
  <c r="AX8" i="72" a="1"/>
  <c r="AX8" i="72" s="1"/>
  <c r="AL22" i="69" a="1"/>
  <c r="AL22" i="69" s="1"/>
  <c r="AU67" i="69" a="1"/>
  <c r="AU67" i="69" s="1"/>
  <c r="AV1474" i="13"/>
  <c r="AV37" i="72" a="1"/>
  <c r="AV37" i="72" s="1"/>
  <c r="AG15" i="69" a="1"/>
  <c r="AG15" i="69" s="1"/>
  <c r="AQ38" i="69" a="1"/>
  <c r="AQ38" i="69" s="1"/>
  <c r="AG28" i="69" a="1"/>
  <c r="AG28" i="69" s="1"/>
  <c r="AP37" i="72" a="1"/>
  <c r="AP37" i="72" s="1"/>
  <c r="BD60" i="69"/>
  <c r="BF90" i="69"/>
  <c r="O90" i="69"/>
  <c r="O90" i="72"/>
  <c r="AD90" i="69"/>
  <c r="BK90" i="72"/>
  <c r="AD90" i="72"/>
  <c r="BF72" i="69"/>
  <c r="BK72" i="72"/>
  <c r="O72" i="72"/>
  <c r="O72" i="69"/>
  <c r="AD72" i="72"/>
  <c r="AD72" i="69"/>
  <c r="AR69" i="4"/>
  <c r="AQ69" i="4"/>
  <c r="AU78" i="4"/>
  <c r="AT78" i="4" a="1"/>
  <c r="AT78" i="4" s="1"/>
  <c r="AV78" i="4" a="1"/>
  <c r="AV78" i="4" s="1"/>
  <c r="Y78" i="4"/>
  <c r="CA78" i="4"/>
  <c r="BQ78" i="4"/>
  <c r="AD87" i="69"/>
  <c r="O87" i="72"/>
  <c r="O87" i="69"/>
  <c r="BK87" i="72"/>
  <c r="BF87" i="69"/>
  <c r="AR88" i="4"/>
  <c r="AQ88" i="4"/>
  <c r="K65" i="72" a="1"/>
  <c r="K65" i="72" s="1"/>
  <c r="AX1530" i="13"/>
  <c r="A1629" i="13"/>
  <c r="AX1629" i="13" s="1"/>
  <c r="AV1530" i="13"/>
  <c r="AV1629" i="13" s="1"/>
  <c r="AD77" i="69"/>
  <c r="O77" i="72"/>
  <c r="O77" i="69"/>
  <c r="BF77" i="69"/>
  <c r="BK77" i="72"/>
  <c r="H53" i="72"/>
  <c r="H53" i="69"/>
  <c r="Z1675" i="13"/>
  <c r="T83" i="4"/>
  <c r="S83" i="4"/>
  <c r="AT31" i="72" a="1"/>
  <c r="AT31" i="72" s="1"/>
  <c r="AZ31" i="72" a="1"/>
  <c r="AZ31" i="72" s="1"/>
  <c r="AO31" i="72" a="1"/>
  <c r="AO31" i="72" s="1"/>
  <c r="AF31" i="72" a="1"/>
  <c r="AF31" i="72" s="1"/>
  <c r="AW31" i="72" a="1"/>
  <c r="AW31" i="72" s="1"/>
  <c r="AQ31" i="72" a="1"/>
  <c r="AQ31" i="72" s="1"/>
  <c r="AL31" i="72" a="1"/>
  <c r="AL31" i="72" s="1"/>
  <c r="BA31" i="72" a="1"/>
  <c r="BA31" i="72" s="1"/>
  <c r="AG31" i="72" a="1"/>
  <c r="AG31" i="72" s="1"/>
  <c r="AV31" i="72" a="1"/>
  <c r="AV31" i="72" s="1"/>
  <c r="AU31" i="72" a="1"/>
  <c r="AU31" i="72" s="1"/>
  <c r="AX31" i="72" a="1"/>
  <c r="AX31" i="72" s="1"/>
  <c r="Z1651" i="13"/>
  <c r="T59" i="4"/>
  <c r="S59" i="4"/>
  <c r="BF60" i="72"/>
  <c r="BE60" i="72"/>
  <c r="AK60" i="72" s="1"/>
  <c r="AJ60" i="72"/>
  <c r="AU94" i="4"/>
  <c r="AV94" i="4" a="1"/>
  <c r="AV94" i="4" s="1"/>
  <c r="Y94" i="4"/>
  <c r="AT94" i="4" a="1"/>
  <c r="AT94" i="4" s="1"/>
  <c r="CA94" i="4"/>
  <c r="CY94" i="4"/>
  <c r="CZ94" i="4" s="1"/>
  <c r="BQ94" i="4"/>
  <c r="T61" i="4"/>
  <c r="Z1653" i="13"/>
  <c r="S61" i="4"/>
  <c r="AV89" i="72" a="1"/>
  <c r="AV89" i="72" s="1"/>
  <c r="AW42" i="72" a="1"/>
  <c r="AW42" i="72" s="1"/>
  <c r="AT82" i="4" a="1"/>
  <c r="AT82" i="4" s="1"/>
  <c r="AV82" i="4" a="1"/>
  <c r="AV82" i="4" s="1"/>
  <c r="AU82" i="4"/>
  <c r="Y82" i="4"/>
  <c r="CA82" i="4"/>
  <c r="CY82" i="4"/>
  <c r="CZ82" i="4" s="1"/>
  <c r="BQ82" i="4"/>
  <c r="G70" i="15"/>
  <c r="AT38" i="72" a="1"/>
  <c r="AT38" i="72" s="1"/>
  <c r="K56" i="69" a="1"/>
  <c r="K56" i="69" s="1"/>
  <c r="AG40" i="69" a="1"/>
  <c r="AG40" i="69" s="1"/>
  <c r="AT77" i="4" a="1"/>
  <c r="AT77" i="4" s="1"/>
  <c r="AV77" i="4" a="1"/>
  <c r="AV77" i="4" s="1"/>
  <c r="AU77" i="4"/>
  <c r="Y77" i="4"/>
  <c r="CY77" i="4"/>
  <c r="CZ77" i="4" s="1"/>
  <c r="P79" i="9" s="1"/>
  <c r="CA77" i="4"/>
  <c r="BQ77" i="4"/>
  <c r="K84" i="69" a="1"/>
  <c r="K84" i="69" s="1"/>
  <c r="S81" i="4"/>
  <c r="Z1673" i="13"/>
  <c r="T81" i="4"/>
  <c r="AX1525" i="13"/>
  <c r="AV1525" i="13"/>
  <c r="AV1624" i="13" s="1"/>
  <c r="A1624" i="13"/>
  <c r="AX1624" i="13" s="1"/>
  <c r="AI75" i="69" a="1"/>
  <c r="AI75" i="69" s="1"/>
  <c r="AQ58" i="4"/>
  <c r="AR58" i="4"/>
  <c r="AO66" i="69" a="1"/>
  <c r="AO66" i="69" s="1"/>
  <c r="AD68" i="72"/>
  <c r="AD68" i="69"/>
  <c r="BF68" i="69"/>
  <c r="O68" i="69"/>
  <c r="BK68" i="72"/>
  <c r="O68" i="72"/>
  <c r="AU92" i="4"/>
  <c r="AV92" i="4" a="1"/>
  <c r="AV92" i="4" s="1"/>
  <c r="Y92" i="4"/>
  <c r="AT92" i="4" a="1"/>
  <c r="AT92" i="4" s="1"/>
  <c r="CY92" i="4"/>
  <c r="CZ92" i="4" s="1"/>
  <c r="P94" i="9" s="1"/>
  <c r="BQ92" i="4"/>
  <c r="CA92" i="4"/>
  <c r="BI50" i="69" a="1"/>
  <c r="BI50" i="69" s="1"/>
  <c r="I110" i="15" a="1"/>
  <c r="I110" i="15" s="1"/>
  <c r="G110" i="15"/>
  <c r="AF14" i="69" a="1"/>
  <c r="AF14" i="69" s="1"/>
  <c r="AV14" i="69" a="1"/>
  <c r="AV14" i="69" s="1"/>
  <c r="AH14" i="69" a="1"/>
  <c r="AH14" i="69" s="1"/>
  <c r="AQ14" i="69" a="1"/>
  <c r="AQ14" i="69" s="1"/>
  <c r="AI14" i="69" a="1"/>
  <c r="AI14" i="69" s="1"/>
  <c r="AJ14" i="69" a="1"/>
  <c r="AJ14" i="69" s="1"/>
  <c r="AP14" i="69" a="1"/>
  <c r="AP14" i="69" s="1"/>
  <c r="AU14" i="69" a="1"/>
  <c r="AU14" i="69" s="1"/>
  <c r="AL14" i="69" a="1"/>
  <c r="AL14" i="69" s="1"/>
  <c r="AS14" i="69" a="1"/>
  <c r="AS14" i="69" s="1"/>
  <c r="BM85" i="4"/>
  <c r="BE85" i="4" s="1" a="1"/>
  <c r="BE85" i="4" s="1"/>
  <c r="BD85" i="69"/>
  <c r="BI85" i="72"/>
  <c r="AV1558" i="13"/>
  <c r="AV1657" i="13" s="1"/>
  <c r="A1657" i="13"/>
  <c r="AX1657" i="13" s="1"/>
  <c r="AX1558" i="13"/>
  <c r="AR96" i="4"/>
  <c r="AQ96" i="4"/>
  <c r="AL69" i="72" a="1"/>
  <c r="AL69" i="72" s="1"/>
  <c r="AW69" i="72" a="1"/>
  <c r="AW69" i="72" s="1"/>
  <c r="AZ69" i="72" a="1"/>
  <c r="AZ69" i="72" s="1"/>
  <c r="AV69" i="72" a="1"/>
  <c r="AV69" i="72" s="1"/>
  <c r="AO69" i="72" a="1"/>
  <c r="AO69" i="72" s="1"/>
  <c r="AU69" i="72" a="1"/>
  <c r="AU69" i="72" s="1"/>
  <c r="AG69" i="72" a="1"/>
  <c r="AG69" i="72" s="1"/>
  <c r="BA69" i="72" a="1"/>
  <c r="BA69" i="72" s="1"/>
  <c r="AF69" i="72" a="1"/>
  <c r="AF69" i="72" s="1"/>
  <c r="AQ69" i="72" a="1"/>
  <c r="AQ69" i="72" s="1"/>
  <c r="AX69" i="72" a="1"/>
  <c r="AX69" i="72" s="1"/>
  <c r="C49" i="72"/>
  <c r="D49" i="72" s="1" a="1"/>
  <c r="D49" i="72" s="1"/>
  <c r="C49" i="69"/>
  <c r="D49" i="69" s="1" a="1"/>
  <c r="D49" i="69" s="1"/>
  <c r="AP76" i="69" a="1"/>
  <c r="AP76" i="69" s="1"/>
  <c r="AL76" i="69" a="1"/>
  <c r="AL76" i="69" s="1"/>
  <c r="AV76" i="69" a="1"/>
  <c r="AV76" i="69" s="1"/>
  <c r="AR76" i="69" a="1"/>
  <c r="AR76" i="69" s="1"/>
  <c r="AU76" i="69" a="1"/>
  <c r="AU76" i="69" s="1"/>
  <c r="AI76" i="69" a="1"/>
  <c r="AI76" i="69" s="1"/>
  <c r="AH76" i="69" a="1"/>
  <c r="AH76" i="69" s="1"/>
  <c r="AF76" i="69" a="1"/>
  <c r="AF76" i="69" s="1"/>
  <c r="AS76" i="69" a="1"/>
  <c r="AS76" i="69" s="1"/>
  <c r="BR71" i="4"/>
  <c r="Y63" i="4"/>
  <c r="AT63" i="4" a="1"/>
  <c r="AT63" i="4" s="1"/>
  <c r="AV63" i="4" a="1"/>
  <c r="AV63" i="4" s="1"/>
  <c r="AU63" i="4"/>
  <c r="BQ63" i="4"/>
  <c r="CY63" i="4"/>
  <c r="CZ63" i="4" s="1"/>
  <c r="CA63" i="4"/>
  <c r="A1680" i="13"/>
  <c r="AX1680" i="13" s="1"/>
  <c r="AV1581" i="13"/>
  <c r="AV1680" i="13" s="1"/>
  <c r="AX1581" i="13"/>
  <c r="T77" i="4"/>
  <c r="Z1669" i="13"/>
  <c r="S77" i="4"/>
  <c r="K59" i="72" a="1"/>
  <c r="K59" i="72" s="1"/>
  <c r="AF56" i="69" a="1"/>
  <c r="AF56" i="69" s="1"/>
  <c r="AU56" i="69" a="1"/>
  <c r="AU56" i="69" s="1"/>
  <c r="AP56" i="69" a="1"/>
  <c r="AP56" i="69" s="1"/>
  <c r="AV56" i="69" a="1"/>
  <c r="AV56" i="69" s="1"/>
  <c r="AL56" i="69" a="1"/>
  <c r="AL56" i="69" s="1"/>
  <c r="AH56" i="69" a="1"/>
  <c r="AH56" i="69" s="1"/>
  <c r="AG56" i="69" a="1"/>
  <c r="AG56" i="69" s="1"/>
  <c r="AR56" i="69" a="1"/>
  <c r="AR56" i="69" s="1"/>
  <c r="AS56" i="69" a="1"/>
  <c r="AS56" i="69" s="1"/>
  <c r="A1639" i="13"/>
  <c r="AX1639" i="13" s="1"/>
  <c r="AX1540" i="13"/>
  <c r="AV1540" i="13"/>
  <c r="AV1639" i="13" s="1"/>
  <c r="AV96" i="4" a="1"/>
  <c r="AV96" i="4" s="1"/>
  <c r="Y96" i="4"/>
  <c r="AU96" i="4"/>
  <c r="AT96" i="4" a="1"/>
  <c r="AT96" i="4" s="1"/>
  <c r="BQ96" i="4"/>
  <c r="CA96" i="4"/>
  <c r="CY96" i="4"/>
  <c r="CZ96" i="4" s="1"/>
  <c r="AX1579" i="13"/>
  <c r="A1678" i="13"/>
  <c r="AX1678" i="13" s="1"/>
  <c r="AV1579" i="13"/>
  <c r="AV1678" i="13" s="1"/>
  <c r="K81" i="69" a="1"/>
  <c r="K81" i="69" s="1"/>
  <c r="AV1580" i="13"/>
  <c r="AV1679" i="13" s="1"/>
  <c r="AX1580" i="13"/>
  <c r="A1679" i="13"/>
  <c r="AX1679" i="13" s="1"/>
  <c r="AT34" i="72" a="1"/>
  <c r="AT34" i="72" s="1"/>
  <c r="AO34" i="72" a="1"/>
  <c r="AO34" i="72" s="1"/>
  <c r="BA34" i="72" a="1"/>
  <c r="BA34" i="72" s="1"/>
  <c r="AV34" i="72" a="1"/>
  <c r="AV34" i="72" s="1"/>
  <c r="AW34" i="72" a="1"/>
  <c r="AW34" i="72" s="1"/>
  <c r="AF34" i="72" a="1"/>
  <c r="AF34" i="72" s="1"/>
  <c r="AU34" i="72" a="1"/>
  <c r="AU34" i="72" s="1"/>
  <c r="AQ34" i="72" a="1"/>
  <c r="AQ34" i="72" s="1"/>
  <c r="AZ34" i="72" a="1"/>
  <c r="AZ34" i="72" s="1"/>
  <c r="AL34" i="72" a="1"/>
  <c r="AL34" i="72" s="1"/>
  <c r="AG34" i="72" a="1"/>
  <c r="AG34" i="72" s="1"/>
  <c r="AX34" i="72" a="1"/>
  <c r="AX34" i="72" s="1"/>
  <c r="AG76" i="69" a="1"/>
  <c r="AG76" i="69" s="1"/>
  <c r="AG30" i="72" a="1"/>
  <c r="AG30" i="72" s="1"/>
  <c r="AV29" i="72" a="1"/>
  <c r="AV29" i="72" s="1"/>
  <c r="AI45" i="69" a="1"/>
  <c r="AI45" i="69" s="1"/>
  <c r="AV53" i="72" a="1"/>
  <c r="AV53" i="72" s="1"/>
  <c r="AW88" i="72" a="1"/>
  <c r="AW88" i="72" s="1"/>
  <c r="AW62" i="72" a="1"/>
  <c r="AW62" i="72" s="1"/>
  <c r="AR46" i="69" a="1"/>
  <c r="AR46" i="69" s="1"/>
  <c r="AI6" i="69" a="1"/>
  <c r="AI6" i="69" s="1"/>
  <c r="AW15" i="72" a="1"/>
  <c r="AW15" i="72" s="1"/>
  <c r="AQ71" i="69" a="1"/>
  <c r="AQ71" i="69" s="1"/>
  <c r="AG66" i="72" a="1"/>
  <c r="AG66" i="72" s="1"/>
  <c r="AV1499" i="13"/>
  <c r="A1598" i="13"/>
  <c r="AX1598" i="13" s="1"/>
  <c r="AX1499" i="13"/>
  <c r="AX1520" i="13"/>
  <c r="AV1520" i="13"/>
  <c r="AV1619" i="13" s="1"/>
  <c r="A1619" i="13"/>
  <c r="AX1619" i="13" s="1"/>
  <c r="O75" i="69"/>
  <c r="BF75" i="69"/>
  <c r="O75" i="72"/>
  <c r="BK75" i="72"/>
  <c r="AP35" i="72" a="1"/>
  <c r="AP35" i="72" s="1"/>
  <c r="BA35" i="72" a="1"/>
  <c r="BA35" i="72" s="1"/>
  <c r="AO35" i="72" a="1"/>
  <c r="AO35" i="72" s="1"/>
  <c r="AG35" i="72" a="1"/>
  <c r="AG35" i="72" s="1"/>
  <c r="AZ35" i="72" a="1"/>
  <c r="AZ35" i="72" s="1"/>
  <c r="AU35" i="72" a="1"/>
  <c r="AU35" i="72" s="1"/>
  <c r="AV35" i="72" a="1"/>
  <c r="AV35" i="72" s="1"/>
  <c r="AL35" i="72" a="1"/>
  <c r="AL35" i="72" s="1"/>
  <c r="AQ35" i="72" a="1"/>
  <c r="AQ35" i="72" s="1"/>
  <c r="AF35" i="72" a="1"/>
  <c r="AF35" i="72" s="1"/>
  <c r="AW35" i="72" a="1"/>
  <c r="AW35" i="72" s="1"/>
  <c r="AX35" i="72" a="1"/>
  <c r="AX35" i="72" s="1"/>
  <c r="Y68" i="4"/>
  <c r="AT68" i="4" a="1"/>
  <c r="AT68" i="4" s="1"/>
  <c r="AV68" i="4" a="1"/>
  <c r="AV68" i="4" s="1"/>
  <c r="AU68" i="4"/>
  <c r="CY68" i="4"/>
  <c r="CZ68" i="4" s="1"/>
  <c r="P70" i="9" s="1"/>
  <c r="BQ68" i="4"/>
  <c r="CA68" i="4"/>
  <c r="Y87" i="4"/>
  <c r="AT87" i="4" a="1"/>
  <c r="AT87" i="4" s="1"/>
  <c r="AU87" i="4"/>
  <c r="AV87" i="4" a="1"/>
  <c r="AV87" i="4" s="1"/>
  <c r="BQ87" i="4"/>
  <c r="CA87" i="4"/>
  <c r="I240" i="15" a="1"/>
  <c r="I240" i="15" s="1"/>
  <c r="BM86" i="4"/>
  <c r="BE86" i="4" s="1" a="1"/>
  <c r="BE86" i="4" s="1"/>
  <c r="AD86" i="69"/>
  <c r="BD86" i="69"/>
  <c r="AD86" i="72"/>
  <c r="BI86" i="72"/>
  <c r="T43" i="4"/>
  <c r="Z1635" i="13"/>
  <c r="S43" i="4"/>
  <c r="AR71" i="4"/>
  <c r="AQ71" i="4"/>
  <c r="AV1526" i="13"/>
  <c r="AV1625" i="13" s="1"/>
  <c r="A1625" i="13"/>
  <c r="AX1625" i="13" s="1"/>
  <c r="AX1526" i="13"/>
  <c r="AV1544" i="13"/>
  <c r="AV1643" i="13" s="1"/>
  <c r="A1643" i="13"/>
  <c r="AX1643" i="13" s="1"/>
  <c r="AX1544" i="13"/>
  <c r="BM95" i="4"/>
  <c r="BE95" i="4" s="1" a="1"/>
  <c r="BE95" i="4" s="1"/>
  <c r="BI95" i="72"/>
  <c r="BD95" i="69"/>
  <c r="H54" i="69"/>
  <c r="H54" i="72"/>
  <c r="T78" i="4"/>
  <c r="Z1670" i="13"/>
  <c r="S78" i="4"/>
  <c r="AD66" i="72"/>
  <c r="BF66" i="69"/>
  <c r="O66" i="69"/>
  <c r="O66" i="72"/>
  <c r="AD66" i="69"/>
  <c r="BK66" i="72"/>
  <c r="C36" i="69"/>
  <c r="D36" i="69" s="1" a="1"/>
  <c r="D36" i="69" s="1"/>
  <c r="C36" i="72"/>
  <c r="D36" i="72" s="1" a="1"/>
  <c r="D36" i="72" s="1"/>
  <c r="BM92" i="4"/>
  <c r="BE92" i="4" s="1" a="1"/>
  <c r="BE92" i="4" s="1"/>
  <c r="BI92" i="72"/>
  <c r="BD92" i="69"/>
  <c r="X77" i="4"/>
  <c r="AX24" i="72" a="1"/>
  <c r="AX24" i="72" s="1"/>
  <c r="AW24" i="72" a="1"/>
  <c r="AW24" i="72" s="1"/>
  <c r="BA24" i="72" a="1"/>
  <c r="BA24" i="72" s="1"/>
  <c r="AF24" i="72" a="1"/>
  <c r="AF24" i="72" s="1"/>
  <c r="AZ24" i="72" a="1"/>
  <c r="AZ24" i="72" s="1"/>
  <c r="AQ24" i="72" a="1"/>
  <c r="AQ24" i="72" s="1"/>
  <c r="AO24" i="72" a="1"/>
  <c r="AO24" i="72" s="1"/>
  <c r="AV24" i="72" a="1"/>
  <c r="AV24" i="72" s="1"/>
  <c r="AL24" i="72" a="1"/>
  <c r="AL24" i="72" s="1"/>
  <c r="AU24" i="72" a="1"/>
  <c r="AU24" i="72" s="1"/>
  <c r="AG24" i="72" a="1"/>
  <c r="AG24" i="72" s="1"/>
  <c r="AK66" i="69" a="1"/>
  <c r="AK66" i="69" s="1"/>
  <c r="AV1568" i="13"/>
  <c r="AV1667" i="13" s="1"/>
  <c r="A1667" i="13"/>
  <c r="AX1667" i="13" s="1"/>
  <c r="AX1568" i="13"/>
  <c r="T14" i="4"/>
  <c r="Z1606" i="13"/>
  <c r="S14" i="4"/>
  <c r="AQ75" i="69" a="1"/>
  <c r="AQ75" i="69" s="1"/>
  <c r="AD39" i="69"/>
  <c r="AR60" i="4"/>
  <c r="AQ60" i="4"/>
  <c r="A1637" i="13"/>
  <c r="AX1637" i="13" s="1"/>
  <c r="AX1538" i="13"/>
  <c r="AV1538" i="13"/>
  <c r="AV1637" i="13" s="1"/>
  <c r="S79" i="4"/>
  <c r="T79" i="4"/>
  <c r="Z1671" i="13"/>
  <c r="AM23" i="72"/>
  <c r="O23" i="72"/>
  <c r="BK23" i="72"/>
  <c r="AW48" i="72" a="1"/>
  <c r="AW48" i="72" s="1"/>
  <c r="AT93" i="4" a="1"/>
  <c r="AT93" i="4" s="1"/>
  <c r="AU93" i="4"/>
  <c r="Y93" i="4"/>
  <c r="AV93" i="4" a="1"/>
  <c r="AV93" i="4" s="1"/>
  <c r="CA93" i="4"/>
  <c r="CY93" i="4"/>
  <c r="CZ93" i="4" s="1"/>
  <c r="BQ93" i="4"/>
  <c r="AQ50" i="69" a="1"/>
  <c r="AQ50" i="69" s="1"/>
  <c r="I191" i="15" a="1"/>
  <c r="I191" i="15" s="1"/>
  <c r="T56" i="4"/>
  <c r="S56" i="4"/>
  <c r="Z1648" i="13"/>
  <c r="AP26" i="72" a="1"/>
  <c r="AP26" i="72" s="1"/>
  <c r="AQ91" i="4"/>
  <c r="AR91" i="4"/>
  <c r="AV1551" i="13"/>
  <c r="AV1650" i="13" s="1"/>
  <c r="A1650" i="13"/>
  <c r="AX1650" i="13" s="1"/>
  <c r="AX1551" i="13"/>
  <c r="AQ75" i="4"/>
  <c r="AR75" i="4"/>
  <c r="BN16" i="72" a="1"/>
  <c r="BN16" i="72" s="1"/>
  <c r="AW16" i="72" a="1"/>
  <c r="AW16" i="72" s="1"/>
  <c r="AF16" i="72" a="1"/>
  <c r="AF16" i="72" s="1"/>
  <c r="AZ16" i="72" a="1"/>
  <c r="AZ16" i="72" s="1"/>
  <c r="AO16" i="72" a="1"/>
  <c r="AO16" i="72" s="1"/>
  <c r="BA16" i="72" a="1"/>
  <c r="BA16" i="72" s="1"/>
  <c r="AL16" i="72" a="1"/>
  <c r="AL16" i="72" s="1"/>
  <c r="AQ16" i="72" a="1"/>
  <c r="AQ16" i="72" s="1"/>
  <c r="AU16" i="72" a="1"/>
  <c r="AU16" i="72" s="1"/>
  <c r="AG16" i="72" a="1"/>
  <c r="AG16" i="72" s="1"/>
  <c r="AV16" i="72" a="1"/>
  <c r="AV16" i="72" s="1"/>
  <c r="AX16" i="72" a="1"/>
  <c r="AX16" i="72" s="1"/>
  <c r="C35" i="14"/>
  <c r="B35" i="14"/>
  <c r="AT80" i="4" a="1"/>
  <c r="AT80" i="4" s="1"/>
  <c r="Y80" i="4"/>
  <c r="AV80" i="4" a="1"/>
  <c r="AV80" i="4" s="1"/>
  <c r="AU80" i="4"/>
  <c r="CA80" i="4"/>
  <c r="BQ80" i="4"/>
  <c r="CY80" i="4"/>
  <c r="CZ80" i="4" s="1"/>
  <c r="AV1510" i="13"/>
  <c r="AV1609" i="13" s="1"/>
  <c r="AX1510" i="13"/>
  <c r="A1609" i="13"/>
  <c r="AX1609" i="13" s="1"/>
  <c r="BN18" i="72" a="1"/>
  <c r="BN18" i="72" s="1"/>
  <c r="AD63" i="72"/>
  <c r="AD63" i="69"/>
  <c r="O63" i="69"/>
  <c r="BF63" i="69"/>
  <c r="O63" i="72"/>
  <c r="BK63" i="72"/>
  <c r="A1615" i="13"/>
  <c r="AX1615" i="13" s="1"/>
  <c r="AV1516" i="13"/>
  <c r="AV1615" i="13" s="1"/>
  <c r="AX1516" i="13"/>
  <c r="BM23" i="4"/>
  <c r="BE23" i="4" s="1" a="1"/>
  <c r="BE23" i="4" s="1"/>
  <c r="BS104" i="4"/>
  <c r="Z1746" i="13" s="1"/>
  <c r="BS107" i="4"/>
  <c r="BS106" i="4"/>
  <c r="BS103" i="4"/>
  <c r="Z1725" i="13" s="1"/>
  <c r="AX1561" i="13"/>
  <c r="AV1561" i="13"/>
  <c r="AV1660" i="13" s="1"/>
  <c r="A1660" i="13"/>
  <c r="AX1660" i="13" s="1"/>
  <c r="S26" i="4"/>
  <c r="T26" i="4"/>
  <c r="Z1618" i="13"/>
  <c r="K58" i="72" a="1"/>
  <c r="K58" i="72" s="1"/>
  <c r="K90" i="72" a="1"/>
  <c r="K90" i="72" s="1"/>
  <c r="T92" i="4"/>
  <c r="Z1684" i="13"/>
  <c r="S92" i="4"/>
  <c r="AV1457" i="13"/>
  <c r="K95" i="72" a="1"/>
  <c r="K95" i="72" s="1"/>
  <c r="AW46" i="72" a="1"/>
  <c r="AW46" i="72" s="1"/>
  <c r="AL46" i="72" a="1"/>
  <c r="AL46" i="72" s="1"/>
  <c r="AQ46" i="72" a="1"/>
  <c r="AQ46" i="72" s="1"/>
  <c r="BA46" i="72" a="1"/>
  <c r="BA46" i="72" s="1"/>
  <c r="AZ46" i="72" a="1"/>
  <c r="AZ46" i="72" s="1"/>
  <c r="AU46" i="72" a="1"/>
  <c r="AU46" i="72" s="1"/>
  <c r="AV46" i="72" a="1"/>
  <c r="AV46" i="72" s="1"/>
  <c r="AO46" i="72" a="1"/>
  <c r="AO46" i="72" s="1"/>
  <c r="AG46" i="72" a="1"/>
  <c r="AG46" i="72" s="1"/>
  <c r="AF46" i="72" a="1"/>
  <c r="AF46" i="72" s="1"/>
  <c r="AX46" i="72" a="1"/>
  <c r="AX46" i="72" s="1"/>
  <c r="AG29" i="72" a="1"/>
  <c r="AG29" i="72" s="1"/>
  <c r="K73" i="69" a="1"/>
  <c r="K73" i="69" s="1"/>
  <c r="AQ31" i="69" a="1"/>
  <c r="AQ31" i="69" s="1"/>
  <c r="AQ13" i="69" a="1"/>
  <c r="AQ13" i="69" s="1"/>
  <c r="AG68" i="69" a="1"/>
  <c r="AG68" i="69" s="1"/>
  <c r="AG46" i="69" a="1"/>
  <c r="AG46" i="69" s="1"/>
  <c r="AG71" i="69" a="1"/>
  <c r="AG71" i="69" s="1"/>
  <c r="AQ22" i="69" a="1"/>
  <c r="AQ22" i="69" s="1"/>
  <c r="AQ67" i="69" a="1"/>
  <c r="AQ67" i="69" s="1"/>
  <c r="AI54" i="69" a="1"/>
  <c r="AI54" i="69" s="1"/>
  <c r="AQ18" i="69" a="1"/>
  <c r="AQ18" i="69" s="1"/>
  <c r="AV68" i="72" a="1"/>
  <c r="AV68" i="72" s="1"/>
  <c r="AT75" i="4" a="1"/>
  <c r="AT75" i="4" s="1"/>
  <c r="Y75" i="4"/>
  <c r="AU75" i="4"/>
  <c r="AV75" i="4" a="1"/>
  <c r="AV75" i="4" s="1"/>
  <c r="CY75" i="4"/>
  <c r="CZ75" i="4" s="1"/>
  <c r="BQ75" i="4"/>
  <c r="CA75" i="4"/>
  <c r="H11" i="72"/>
  <c r="H11" i="69"/>
  <c r="AX70" i="72" a="1"/>
  <c r="AX70" i="72" s="1"/>
  <c r="AV70" i="72" a="1"/>
  <c r="AV70" i="72" s="1"/>
  <c r="AL70" i="72" a="1"/>
  <c r="AL70" i="72" s="1"/>
  <c r="AO70" i="72" a="1"/>
  <c r="AO70" i="72" s="1"/>
  <c r="AU70" i="72" a="1"/>
  <c r="AU70" i="72" s="1"/>
  <c r="AF70" i="72" a="1"/>
  <c r="AF70" i="72" s="1"/>
  <c r="AZ70" i="72" a="1"/>
  <c r="AZ70" i="72" s="1"/>
  <c r="AW70" i="72" a="1"/>
  <c r="AW70" i="72" s="1"/>
  <c r="BA70" i="72" a="1"/>
  <c r="BA70" i="72" s="1"/>
  <c r="AQ70" i="72" a="1"/>
  <c r="AQ70" i="72" s="1"/>
  <c r="AG70" i="72" a="1"/>
  <c r="AG70" i="72" s="1"/>
  <c r="AX56" i="72" a="1"/>
  <c r="AX56" i="72" s="1"/>
  <c r="AL56" i="72" a="1"/>
  <c r="AL56" i="72" s="1"/>
  <c r="AZ56" i="72" a="1"/>
  <c r="AZ56" i="72" s="1"/>
  <c r="AQ56" i="72" a="1"/>
  <c r="AQ56" i="72" s="1"/>
  <c r="AV56" i="72" a="1"/>
  <c r="AV56" i="72" s="1"/>
  <c r="AU56" i="72" a="1"/>
  <c r="AU56" i="72" s="1"/>
  <c r="AW56" i="72" a="1"/>
  <c r="AW56" i="72" s="1"/>
  <c r="AO56" i="72" a="1"/>
  <c r="AO56" i="72" s="1"/>
  <c r="AF56" i="72" a="1"/>
  <c r="AF56" i="72" s="1"/>
  <c r="BA56" i="72" a="1"/>
  <c r="BA56" i="72" s="1"/>
  <c r="AG56" i="72" a="1"/>
  <c r="AG56" i="72" s="1"/>
  <c r="AX72" i="72" a="1"/>
  <c r="AX72" i="72" s="1"/>
  <c r="AQ72" i="72" a="1"/>
  <c r="AQ72" i="72" s="1"/>
  <c r="AU72" i="72" a="1"/>
  <c r="AU72" i="72" s="1"/>
  <c r="AZ72" i="72" a="1"/>
  <c r="AZ72" i="72" s="1"/>
  <c r="BA72" i="72" a="1"/>
  <c r="BA72" i="72" s="1"/>
  <c r="AO72" i="72" a="1"/>
  <c r="AO72" i="72" s="1"/>
  <c r="AF72" i="72" a="1"/>
  <c r="AF72" i="72" s="1"/>
  <c r="AL72" i="72" a="1"/>
  <c r="AL72" i="72" s="1"/>
  <c r="AV72" i="72" a="1"/>
  <c r="AV72" i="72" s="1"/>
  <c r="T39" i="4"/>
  <c r="S39" i="4"/>
  <c r="Z1631" i="13"/>
  <c r="C24" i="72"/>
  <c r="D24" i="72" s="1" a="1"/>
  <c r="D24" i="72" s="1"/>
  <c r="C24" i="69"/>
  <c r="D24" i="69" s="1" a="1"/>
  <c r="D24" i="69" s="1"/>
  <c r="C54" i="72"/>
  <c r="D54" i="72" s="1" a="1"/>
  <c r="D54" i="72" s="1"/>
  <c r="C54" i="69"/>
  <c r="D54" i="69" s="1" a="1"/>
  <c r="D54" i="69" s="1"/>
  <c r="AX1548" i="13"/>
  <c r="A1647" i="13"/>
  <c r="AX1647" i="13" s="1"/>
  <c r="AV1548" i="13"/>
  <c r="AV1647" i="13" s="1"/>
  <c r="AX1565" i="13"/>
  <c r="A1664" i="13"/>
  <c r="AX1664" i="13" s="1"/>
  <c r="AV1565" i="13"/>
  <c r="AV1664" i="13" s="1"/>
  <c r="AD95" i="69"/>
  <c r="AG84" i="72" a="1"/>
  <c r="AG84" i="72" s="1"/>
  <c r="BF82" i="69"/>
  <c r="O82" i="69"/>
  <c r="BK82" i="72"/>
  <c r="O82" i="72"/>
  <c r="AW51" i="72" a="1"/>
  <c r="AW51" i="72" s="1"/>
  <c r="K70" i="72" a="1"/>
  <c r="K70" i="72" s="1"/>
  <c r="K79" i="69" a="1"/>
  <c r="K79" i="69" s="1"/>
  <c r="AV1469" i="13"/>
  <c r="AT88" i="4" a="1"/>
  <c r="AT88" i="4" s="1"/>
  <c r="AV88" i="4" a="1"/>
  <c r="AV88" i="4" s="1"/>
  <c r="AU88" i="4"/>
  <c r="Y88" i="4"/>
  <c r="CA88" i="4"/>
  <c r="BQ88" i="4"/>
  <c r="A1626" i="13"/>
  <c r="AX1626" i="13" s="1"/>
  <c r="AX1527" i="13"/>
  <c r="AV1527" i="13"/>
  <c r="AV1626" i="13" s="1"/>
  <c r="BN72" i="72" a="1"/>
  <c r="BN72" i="72" s="1"/>
  <c r="AI32" i="69" a="1"/>
  <c r="AI32" i="69" s="1"/>
  <c r="BM23" i="72" a="1"/>
  <c r="BM23" i="72" s="1"/>
  <c r="AN23" i="72"/>
  <c r="R23" i="72"/>
  <c r="AK23" i="72"/>
  <c r="AI23" i="72"/>
  <c r="BG23" i="72"/>
  <c r="BT23" i="72"/>
  <c r="BD23" i="72"/>
  <c r="AJ23" i="72"/>
  <c r="BE23" i="72"/>
  <c r="BF23" i="72"/>
  <c r="X93" i="4"/>
  <c r="BR92" i="4"/>
  <c r="AD92" i="69" s="1"/>
  <c r="BN26" i="72" a="1"/>
  <c r="BN26" i="72" s="1"/>
  <c r="BM89" i="4"/>
  <c r="BE89" i="4" s="1" a="1"/>
  <c r="BE89" i="4" s="1"/>
  <c r="BI89" i="72"/>
  <c r="AD89" i="72"/>
  <c r="AD89" i="69"/>
  <c r="BD89" i="69"/>
  <c r="AD23" i="69"/>
  <c r="Z1656" i="13"/>
  <c r="S64" i="4"/>
  <c r="T64" i="4"/>
  <c r="BM73" i="4"/>
  <c r="BE73" i="4" s="1" a="1"/>
  <c r="BE73" i="4" s="1"/>
  <c r="AD73" i="69"/>
  <c r="AD73" i="72"/>
  <c r="BD73" i="69"/>
  <c r="BI73" i="72"/>
  <c r="Z1640" i="13"/>
  <c r="T48" i="4"/>
  <c r="S48" i="4"/>
  <c r="BM94" i="4"/>
  <c r="BE94" i="4" s="1" a="1"/>
  <c r="BE94" i="4" s="1"/>
  <c r="BD94" i="69"/>
  <c r="BI94" i="72"/>
  <c r="AK73" i="69" a="1"/>
  <c r="AK73" i="69" s="1"/>
  <c r="BF1769" i="13"/>
  <c r="AR65" i="69" a="1"/>
  <c r="AR65" i="69" s="1"/>
  <c r="Z1615" i="13"/>
  <c r="T23" i="4"/>
  <c r="S23" i="4"/>
  <c r="AD69" i="72"/>
  <c r="O69" i="69"/>
  <c r="O69" i="72"/>
  <c r="BF69" i="69"/>
  <c r="BK69" i="72"/>
  <c r="Z1621" i="13"/>
  <c r="T29" i="4"/>
  <c r="S29" i="4"/>
  <c r="H13" i="69"/>
  <c r="H13" i="72"/>
  <c r="AQ25" i="4"/>
  <c r="AR25" i="4"/>
  <c r="Z1666" i="13"/>
  <c r="T74" i="4"/>
  <c r="S74" i="4"/>
  <c r="Z1683" i="13"/>
  <c r="S91" i="4"/>
  <c r="T91" i="4"/>
  <c r="BR96" i="4"/>
  <c r="AK36" i="72"/>
  <c r="AG73" i="72" a="1"/>
  <c r="AG73" i="72" s="1"/>
  <c r="K71" i="69" a="1"/>
  <c r="K71" i="69" s="1"/>
  <c r="A1655" i="13"/>
  <c r="AX1655" i="13" s="1"/>
  <c r="AV1556" i="13"/>
  <c r="AV1655" i="13" s="1"/>
  <c r="AX1556" i="13"/>
  <c r="K66" i="69" a="1"/>
  <c r="K66" i="69" s="1"/>
  <c r="BN34" i="72" a="1"/>
  <c r="BN34" i="72" s="1"/>
  <c r="AX1587" i="13"/>
  <c r="A1686" i="13"/>
  <c r="AX1686" i="13" s="1"/>
  <c r="AV1587" i="13"/>
  <c r="AV1686" i="13" s="1"/>
  <c r="AR17" i="69" a="1"/>
  <c r="AR17" i="69" s="1"/>
  <c r="AR89" i="69" a="1"/>
  <c r="AR89" i="69" s="1"/>
  <c r="AV6" i="72" a="1"/>
  <c r="AV6" i="72" s="1"/>
  <c r="AG92" i="69" a="1"/>
  <c r="AG92" i="69" s="1"/>
  <c r="AR33" i="69" a="1"/>
  <c r="AR33" i="69" s="1"/>
  <c r="AI86" i="69" a="1"/>
  <c r="AI86" i="69" s="1"/>
  <c r="AW33" i="72" a="1"/>
  <c r="AW33" i="72" s="1"/>
  <c r="AI19" i="69" a="1"/>
  <c r="AI19" i="69" s="1"/>
  <c r="AV36" i="72" a="1"/>
  <c r="AV36" i="72" s="1"/>
  <c r="AG93" i="69" a="1"/>
  <c r="AG93" i="69" s="1"/>
  <c r="AG18" i="69" a="1"/>
  <c r="AG18" i="69" s="1"/>
  <c r="BF89" i="69"/>
  <c r="O89" i="72"/>
  <c r="O89" i="69"/>
  <c r="BN52" i="72" a="1"/>
  <c r="BN52" i="72" s="1"/>
  <c r="AO52" i="72" a="1"/>
  <c r="AO52" i="72" s="1"/>
  <c r="AF52" i="72" a="1"/>
  <c r="AF52" i="72" s="1"/>
  <c r="AL52" i="72" a="1"/>
  <c r="AL52" i="72" s="1"/>
  <c r="BA52" i="72" a="1"/>
  <c r="BA52" i="72" s="1"/>
  <c r="AV52" i="72" a="1"/>
  <c r="AV52" i="72" s="1"/>
  <c r="AU52" i="72" a="1"/>
  <c r="AU52" i="72" s="1"/>
  <c r="AG52" i="72" a="1"/>
  <c r="AG52" i="72" s="1"/>
  <c r="AZ52" i="72" a="1"/>
  <c r="AZ52" i="72" s="1"/>
  <c r="AQ52" i="72" a="1"/>
  <c r="AQ52" i="72" s="1"/>
  <c r="AW52" i="72" a="1"/>
  <c r="AW52" i="72" s="1"/>
  <c r="AX52" i="72" a="1"/>
  <c r="AX52" i="72" s="1"/>
  <c r="BN57" i="72" a="1"/>
  <c r="BN57" i="72" s="1"/>
  <c r="AF57" i="72" a="1"/>
  <c r="AF57" i="72" s="1"/>
  <c r="AV57" i="72" a="1"/>
  <c r="AV57" i="72" s="1"/>
  <c r="AO57" i="72" a="1"/>
  <c r="AO57" i="72" s="1"/>
  <c r="AQ57" i="72" a="1"/>
  <c r="AQ57" i="72" s="1"/>
  <c r="AL57" i="72" a="1"/>
  <c r="AL57" i="72" s="1"/>
  <c r="AW57" i="72" a="1"/>
  <c r="AW57" i="72" s="1"/>
  <c r="AU57" i="72" a="1"/>
  <c r="AU57" i="72" s="1"/>
  <c r="AZ57" i="72" a="1"/>
  <c r="AZ57" i="72" s="1"/>
  <c r="BA57" i="72" a="1"/>
  <c r="BA57" i="72" s="1"/>
  <c r="AX57" i="72" a="1"/>
  <c r="AX57" i="72" s="1"/>
  <c r="AF28" i="69" a="1"/>
  <c r="AF28" i="69" s="1"/>
  <c r="AH28" i="69" a="1"/>
  <c r="AH28" i="69" s="1"/>
  <c r="AP28" i="69" a="1"/>
  <c r="AP28" i="69" s="1"/>
  <c r="AU28" i="69" a="1"/>
  <c r="AU28" i="69" s="1"/>
  <c r="AV28" i="69" a="1"/>
  <c r="AV28" i="69" s="1"/>
  <c r="AJ28" i="69" a="1"/>
  <c r="AJ28" i="69" s="1"/>
  <c r="AL28" i="69" a="1"/>
  <c r="AL28" i="69" s="1"/>
  <c r="AI28" i="69" a="1"/>
  <c r="AI28" i="69" s="1"/>
  <c r="AR28" i="69" a="1"/>
  <c r="AR28" i="69" s="1"/>
  <c r="AS28" i="69" a="1"/>
  <c r="AS28" i="69" s="1"/>
  <c r="Y70" i="4"/>
  <c r="AT70" i="4" a="1"/>
  <c r="AT70" i="4" s="1"/>
  <c r="AV70" i="4" a="1"/>
  <c r="AV70" i="4" s="1"/>
  <c r="AU70" i="4"/>
  <c r="CA70" i="4"/>
  <c r="BQ70" i="4"/>
  <c r="AT90" i="72" a="1"/>
  <c r="AT90" i="72" s="1"/>
  <c r="AZ90" i="72" a="1"/>
  <c r="AZ90" i="72" s="1"/>
  <c r="AG90" i="72" a="1"/>
  <c r="AG90" i="72" s="1"/>
  <c r="BA90" i="72" a="1"/>
  <c r="BA90" i="72" s="1"/>
  <c r="AQ90" i="72" a="1"/>
  <c r="AQ90" i="72" s="1"/>
  <c r="AU90" i="72" a="1"/>
  <c r="AU90" i="72" s="1"/>
  <c r="AO90" i="72" a="1"/>
  <c r="AO90" i="72" s="1"/>
  <c r="AF90" i="72" a="1"/>
  <c r="AF90" i="72" s="1"/>
  <c r="AV90" i="72" a="1"/>
  <c r="AV90" i="72" s="1"/>
  <c r="AL90" i="72" a="1"/>
  <c r="AL90" i="72" s="1"/>
  <c r="AW90" i="72" a="1"/>
  <c r="AW90" i="72" s="1"/>
  <c r="AX90" i="72" a="1"/>
  <c r="AX90" i="72" s="1"/>
  <c r="AD77" i="72"/>
  <c r="K72" i="69" a="1"/>
  <c r="K72" i="69" s="1"/>
  <c r="S84" i="4"/>
  <c r="T84" i="4"/>
  <c r="Z1676" i="13"/>
  <c r="Z1639" i="13"/>
  <c r="T47" i="4"/>
  <c r="S47" i="4"/>
  <c r="K59" i="69" a="1"/>
  <c r="K59" i="69" s="1"/>
  <c r="BM69" i="4"/>
  <c r="BE69" i="4" s="1" a="1"/>
  <c r="BE69" i="4" s="1"/>
  <c r="AD69" i="69"/>
  <c r="BI69" i="72"/>
  <c r="BD69" i="69"/>
  <c r="C53" i="72"/>
  <c r="D53" i="72" s="1" a="1"/>
  <c r="D53" i="72" s="1"/>
  <c r="C53" i="69"/>
  <c r="D53" i="69" s="1" a="1"/>
  <c r="D53" i="69" s="1"/>
  <c r="Z1649" i="13"/>
  <c r="S57" i="4"/>
  <c r="T57" i="4"/>
  <c r="H24" i="69"/>
  <c r="H24" i="72"/>
  <c r="AT69" i="4" a="1"/>
  <c r="AT69" i="4" s="1"/>
  <c r="AU69" i="4"/>
  <c r="Y69" i="4"/>
  <c r="AV69" i="4" a="1"/>
  <c r="AV69" i="4" s="1"/>
  <c r="BQ69" i="4"/>
  <c r="CA69" i="4"/>
  <c r="K74" i="69" a="1"/>
  <c r="K74" i="69" s="1"/>
  <c r="A1685" i="13"/>
  <c r="AX1685" i="13" s="1"/>
  <c r="AV1586" i="13"/>
  <c r="AV1685" i="13" s="1"/>
  <c r="AX1586" i="13"/>
  <c r="BA67" i="72" a="1"/>
  <c r="BA67" i="72" s="1"/>
  <c r="AL67" i="72" a="1"/>
  <c r="AL67" i="72" s="1"/>
  <c r="AZ67" i="72" a="1"/>
  <c r="AZ67" i="72" s="1"/>
  <c r="AF67" i="72" a="1"/>
  <c r="AF67" i="72" s="1"/>
  <c r="AO67" i="72" a="1"/>
  <c r="AO67" i="72" s="1"/>
  <c r="AU67" i="72" a="1"/>
  <c r="AU67" i="72" s="1"/>
  <c r="AQ67" i="72" a="1"/>
  <c r="AQ67" i="72" s="1"/>
  <c r="AV67" i="72" a="1"/>
  <c r="AV67" i="72" s="1"/>
  <c r="AX67" i="72" a="1"/>
  <c r="AX67" i="72" s="1"/>
  <c r="AG26" i="69" a="1"/>
  <c r="AG26" i="69" s="1"/>
  <c r="AD94" i="72"/>
  <c r="BM75" i="4"/>
  <c r="BE75" i="4" s="1" a="1"/>
  <c r="BE75" i="4" s="1"/>
  <c r="BD75" i="69"/>
  <c r="BI75" i="72"/>
  <c r="AD75" i="72"/>
  <c r="AD75" i="69"/>
  <c r="AW74" i="72" a="1"/>
  <c r="AW74" i="72" s="1"/>
  <c r="AL74" i="72" a="1"/>
  <c r="AL74" i="72" s="1"/>
  <c r="AV74" i="72" a="1"/>
  <c r="AV74" i="72" s="1"/>
  <c r="AF74" i="72" a="1"/>
  <c r="AF74" i="72" s="1"/>
  <c r="AZ74" i="72" a="1"/>
  <c r="AZ74" i="72" s="1"/>
  <c r="BA74" i="72" a="1"/>
  <c r="BA74" i="72" s="1"/>
  <c r="AQ74" i="72" a="1"/>
  <c r="AQ74" i="72" s="1"/>
  <c r="AO74" i="72" a="1"/>
  <c r="AO74" i="72" s="1"/>
  <c r="AU74" i="72" a="1"/>
  <c r="AU74" i="72" s="1"/>
  <c r="AG74" i="72" a="1"/>
  <c r="AG74" i="72" s="1"/>
  <c r="AX74" i="72" a="1"/>
  <c r="AX74" i="72" s="1"/>
  <c r="AT93" i="72" a="1"/>
  <c r="AT93" i="72" s="1"/>
  <c r="H36" i="69"/>
  <c r="H36" i="72"/>
  <c r="AR94" i="4"/>
  <c r="AQ94" i="4"/>
  <c r="AR89" i="4"/>
  <c r="AQ89" i="4"/>
  <c r="Y85" i="4"/>
  <c r="AV85" i="4" a="1"/>
  <c r="AV85" i="4" s="1"/>
  <c r="AU85" i="4"/>
  <c r="AT85" i="4" a="1"/>
  <c r="AT85" i="4" s="1"/>
  <c r="CA85" i="4"/>
  <c r="BQ85" i="4"/>
  <c r="AI73" i="69" a="1"/>
  <c r="AI73" i="69" s="1"/>
  <c r="K79" i="72" a="1"/>
  <c r="K79" i="72" s="1"/>
  <c r="K65" i="69" a="1"/>
  <c r="K65" i="69" s="1"/>
  <c r="AX1509" i="13"/>
  <c r="A1608" i="13"/>
  <c r="AX1608" i="13" s="1"/>
  <c r="AV1509" i="13"/>
  <c r="AV1608" i="13" s="1"/>
  <c r="S85" i="4"/>
  <c r="Z1677" i="13"/>
  <c r="T85" i="4"/>
  <c r="AG57" i="72" a="1"/>
  <c r="AG57" i="72" s="1"/>
  <c r="Z1769" i="13"/>
  <c r="AB1748" i="13"/>
  <c r="AV1748" i="13"/>
  <c r="G120" i="15"/>
  <c r="BM93" i="4"/>
  <c r="BE93" i="4" s="1" a="1"/>
  <c r="BE93" i="4" s="1"/>
  <c r="BD93" i="69"/>
  <c r="AD93" i="69"/>
  <c r="BI93" i="72"/>
  <c r="AD93" i="72"/>
  <c r="S40" i="4"/>
  <c r="Z1632" i="13"/>
  <c r="T40" i="4"/>
  <c r="AW72" i="72" a="1"/>
  <c r="AW72" i="72" s="1"/>
  <c r="AV1470" i="13"/>
  <c r="BM58" i="4"/>
  <c r="BE58" i="4" s="1" a="1"/>
  <c r="BE58" i="4" s="1"/>
  <c r="BI58" i="72"/>
  <c r="BD58" i="69"/>
  <c r="BV23" i="72"/>
  <c r="BN80" i="72" a="1"/>
  <c r="BN80" i="72" s="1"/>
  <c r="AL80" i="72" a="1"/>
  <c r="AL80" i="72" s="1"/>
  <c r="AU80" i="72" a="1"/>
  <c r="AU80" i="72" s="1"/>
  <c r="AW80" i="72" a="1"/>
  <c r="AW80" i="72" s="1"/>
  <c r="BA80" i="72" a="1"/>
  <c r="BA80" i="72" s="1"/>
  <c r="AQ80" i="72" a="1"/>
  <c r="AQ80" i="72" s="1"/>
  <c r="AV80" i="72" a="1"/>
  <c r="AV80" i="72" s="1"/>
  <c r="AG80" i="72" a="1"/>
  <c r="AG80" i="72" s="1"/>
  <c r="AZ80" i="72" a="1"/>
  <c r="AZ80" i="72" s="1"/>
  <c r="AF80" i="72" a="1"/>
  <c r="AF80" i="72" s="1"/>
  <c r="AO80" i="72" a="1"/>
  <c r="AO80" i="72" s="1"/>
  <c r="AX80" i="72" a="1"/>
  <c r="AX80" i="72" s="1"/>
  <c r="AQ28" i="69" a="1"/>
  <c r="AQ28" i="69" s="1"/>
  <c r="K90" i="69" a="1"/>
  <c r="K90" i="69" s="1"/>
  <c r="AX1543" i="13"/>
  <c r="A1642" i="13"/>
  <c r="AX1642" i="13" s="1"/>
  <c r="AV1543" i="13"/>
  <c r="AV1642" i="13" s="1"/>
  <c r="AV1512" i="13"/>
  <c r="AV1611" i="13" s="1"/>
  <c r="AX1512" i="13"/>
  <c r="A1611" i="13"/>
  <c r="AX1611" i="13" s="1"/>
  <c r="D23" i="69" a="1"/>
  <c r="D23" i="69" s="1"/>
  <c r="K63" i="72" a="1"/>
  <c r="K63" i="72" s="1"/>
  <c r="AV1535" i="13"/>
  <c r="AV1634" i="13" s="1"/>
  <c r="AX1535" i="13"/>
  <c r="A1634" i="13"/>
  <c r="AX1634" i="13" s="1"/>
  <c r="H35" i="72"/>
  <c r="H35" i="69"/>
  <c r="AP69" i="72" a="1"/>
  <c r="AP69" i="72" s="1"/>
  <c r="BF1768" i="13"/>
  <c r="AZ22" i="72" a="1"/>
  <c r="AZ22" i="72" s="1"/>
  <c r="AQ22" i="72" a="1"/>
  <c r="AQ22" i="72" s="1"/>
  <c r="AL22" i="72" a="1"/>
  <c r="AL22" i="72" s="1"/>
  <c r="BA22" i="72" a="1"/>
  <c r="BA22" i="72" s="1"/>
  <c r="AV22" i="72" a="1"/>
  <c r="AV22" i="72" s="1"/>
  <c r="AG22" i="72" a="1"/>
  <c r="AG22" i="72" s="1"/>
  <c r="AU22" i="72" a="1"/>
  <c r="AU22" i="72" s="1"/>
  <c r="AF22" i="72" a="1"/>
  <c r="AF22" i="72" s="1"/>
  <c r="AO22" i="72" a="1"/>
  <c r="AO22" i="72" s="1"/>
  <c r="AW22" i="72" a="1"/>
  <c r="AW22" i="72" s="1"/>
  <c r="AX22" i="72" a="1"/>
  <c r="AX22" i="72" s="1"/>
  <c r="BA61" i="72" a="1"/>
  <c r="BA61" i="72" s="1"/>
  <c r="AG61" i="72" a="1"/>
  <c r="AG61" i="72" s="1"/>
  <c r="AU61" i="72" a="1"/>
  <c r="AU61" i="72" s="1"/>
  <c r="AQ61" i="72" a="1"/>
  <c r="AQ61" i="72" s="1"/>
  <c r="AO61" i="72" a="1"/>
  <c r="AO61" i="72" s="1"/>
  <c r="AL61" i="72" a="1"/>
  <c r="AL61" i="72" s="1"/>
  <c r="AZ61" i="72" a="1"/>
  <c r="AZ61" i="72" s="1"/>
  <c r="AV61" i="72" a="1"/>
  <c r="AV61" i="72" s="1"/>
  <c r="AW61" i="72" a="1"/>
  <c r="AW61" i="72" s="1"/>
  <c r="AX61" i="72" a="1"/>
  <c r="AX61" i="72" s="1"/>
  <c r="K77" i="72" a="1"/>
  <c r="K77" i="72" s="1"/>
  <c r="AG12" i="72" a="1"/>
  <c r="AG12" i="72" s="1"/>
  <c r="AV12" i="72" a="1"/>
  <c r="AV12" i="72" s="1"/>
  <c r="AZ12" i="72" a="1"/>
  <c r="AZ12" i="72" s="1"/>
  <c r="BA12" i="72" a="1"/>
  <c r="BA12" i="72" s="1"/>
  <c r="AF12" i="72" a="1"/>
  <c r="AF12" i="72" s="1"/>
  <c r="AQ12" i="72" a="1"/>
  <c r="AQ12" i="72" s="1"/>
  <c r="AO12" i="72" a="1"/>
  <c r="AO12" i="72" s="1"/>
  <c r="AL12" i="72" a="1"/>
  <c r="AL12" i="72" s="1"/>
  <c r="AU12" i="72" a="1"/>
  <c r="AU12" i="72" s="1"/>
  <c r="AW12" i="72" a="1"/>
  <c r="AW12" i="72" s="1"/>
  <c r="AX12" i="72" a="1"/>
  <c r="AX12" i="72" s="1"/>
  <c r="AK38" i="69" a="1"/>
  <c r="AK38" i="69" s="1"/>
  <c r="C13" i="72"/>
  <c r="D13" i="72" s="1" a="1"/>
  <c r="D13" i="72" s="1"/>
  <c r="C13" i="69"/>
  <c r="D13" i="69" s="1" a="1"/>
  <c r="D13" i="69" s="1"/>
  <c r="K94" i="72" a="1"/>
  <c r="K94" i="72" s="1"/>
  <c r="AX1502" i="13"/>
  <c r="A1601" i="13"/>
  <c r="AX1601" i="13" s="1"/>
  <c r="AV1502" i="13"/>
  <c r="AV1601" i="13" s="1"/>
  <c r="AV1454" i="13"/>
  <c r="AK7" i="72"/>
  <c r="AV1513" i="13"/>
  <c r="AV1612" i="13" s="1"/>
  <c r="A1612" i="13"/>
  <c r="AX1612" i="13" s="1"/>
  <c r="AX1513" i="13"/>
  <c r="AG94" i="72" a="1"/>
  <c r="AG94" i="72" s="1"/>
  <c r="A1644" i="13"/>
  <c r="AX1644" i="13" s="1"/>
  <c r="AX1545" i="13"/>
  <c r="AV1545" i="13"/>
  <c r="AV1644" i="13" s="1"/>
  <c r="AL83" i="69" a="1"/>
  <c r="AL83" i="69" s="1"/>
  <c r="AJ83" i="69" a="1"/>
  <c r="AJ83" i="69" s="1"/>
  <c r="AP83" i="69" a="1"/>
  <c r="AP83" i="69" s="1"/>
  <c r="AH83" i="69" a="1"/>
  <c r="AH83" i="69" s="1"/>
  <c r="AR83" i="69" a="1"/>
  <c r="AR83" i="69" s="1"/>
  <c r="AU83" i="69" a="1"/>
  <c r="AU83" i="69" s="1"/>
  <c r="AV83" i="69" a="1"/>
  <c r="AV83" i="69" s="1"/>
  <c r="AF83" i="69" a="1"/>
  <c r="AF83" i="69" s="1"/>
  <c r="AG83" i="69" a="1"/>
  <c r="AG83" i="69" s="1"/>
  <c r="AS83" i="69" a="1"/>
  <c r="AS83" i="69" s="1"/>
  <c r="AP34" i="72" a="1"/>
  <c r="AP34" i="72" s="1"/>
  <c r="I71" i="15" a="1"/>
  <c r="I71" i="15" s="1"/>
  <c r="G71" i="15"/>
  <c r="AX1511" i="13"/>
  <c r="AV1511" i="13"/>
  <c r="AV1610" i="13" s="1"/>
  <c r="A1610" i="13"/>
  <c r="AX1610" i="13" s="1"/>
  <c r="AV40" i="72" a="1"/>
  <c r="AV40" i="72" s="1"/>
  <c r="G81" i="15"/>
  <c r="G76" i="15"/>
  <c r="AV28" i="72" a="1"/>
  <c r="AV28" i="72" s="1"/>
  <c r="AR19" i="69" a="1"/>
  <c r="AR19" i="69" s="1"/>
  <c r="AW32" i="72" a="1"/>
  <c r="AW32" i="72" s="1"/>
  <c r="Z1668" i="13"/>
  <c r="T76" i="4"/>
  <c r="S76" i="4"/>
  <c r="AV1573" i="13"/>
  <c r="AV1672" i="13" s="1"/>
  <c r="AX1573" i="13"/>
  <c r="A1672" i="13"/>
  <c r="AX1672" i="13" s="1"/>
  <c r="A1682" i="13"/>
  <c r="AX1682" i="13" s="1"/>
  <c r="AX1583" i="13"/>
  <c r="AV1583" i="13"/>
  <c r="AV1682" i="13" s="1"/>
  <c r="S60" i="4"/>
  <c r="T60" i="4"/>
  <c r="Z1652" i="13"/>
  <c r="C16" i="72"/>
  <c r="D16" i="72" s="1" a="1"/>
  <c r="D16" i="72" s="1"/>
  <c r="C16" i="69"/>
  <c r="D16" i="69" s="1" a="1"/>
  <c r="D16" i="69" s="1"/>
  <c r="S52" i="4"/>
  <c r="T52" i="4"/>
  <c r="Z1644" i="13"/>
  <c r="AT35" i="72" a="1"/>
  <c r="AT35" i="72" s="1"/>
  <c r="A1633" i="13"/>
  <c r="AX1633" i="13" s="1"/>
  <c r="AX1534" i="13"/>
  <c r="AV1534" i="13"/>
  <c r="AV1633" i="13" s="1"/>
  <c r="AP38" i="72" a="1"/>
  <c r="AP38" i="72" s="1"/>
  <c r="AO38" i="72" a="1"/>
  <c r="AO38" i="72" s="1"/>
  <c r="AG38" i="72" a="1"/>
  <c r="AG38" i="72" s="1"/>
  <c r="AQ38" i="72" a="1"/>
  <c r="AQ38" i="72" s="1"/>
  <c r="AF38" i="72" a="1"/>
  <c r="AF38" i="72" s="1"/>
  <c r="AW38" i="72" a="1"/>
  <c r="AW38" i="72" s="1"/>
  <c r="AZ38" i="72" a="1"/>
  <c r="AZ38" i="72" s="1"/>
  <c r="AL38" i="72" a="1"/>
  <c r="AL38" i="72" s="1"/>
  <c r="AV38" i="72" a="1"/>
  <c r="AV38" i="72" s="1"/>
  <c r="AU38" i="72" a="1"/>
  <c r="AU38" i="72" s="1"/>
  <c r="BA38" i="72" a="1"/>
  <c r="BA38" i="72" s="1"/>
  <c r="AX38" i="72" a="1"/>
  <c r="AX38" i="72" s="1"/>
  <c r="L60" i="72"/>
  <c r="BM60" i="72" a="1"/>
  <c r="BM60" i="72" s="1"/>
  <c r="BD60" i="72"/>
  <c r="BT60" i="72"/>
  <c r="BG60" i="72"/>
  <c r="AW60" i="72" s="1" a="1"/>
  <c r="AW60" i="72" s="1"/>
  <c r="AN60" i="72"/>
  <c r="R60" i="72"/>
  <c r="AI60" i="72"/>
  <c r="BN60" i="72" a="1"/>
  <c r="BN60" i="72" s="1"/>
  <c r="AP60" i="72" a="1"/>
  <c r="AP60" i="72" s="1"/>
  <c r="AU76" i="4"/>
  <c r="Y76" i="4"/>
  <c r="AT76" i="4" a="1"/>
  <c r="AT76" i="4" s="1"/>
  <c r="AV76" i="4" a="1"/>
  <c r="AV76" i="4" s="1"/>
  <c r="BQ76" i="4"/>
  <c r="CA76" i="4"/>
  <c r="CY76" i="4"/>
  <c r="CZ76" i="4" s="1"/>
  <c r="AV1486" i="13"/>
  <c r="AD95" i="72"/>
  <c r="AR77" i="4"/>
  <c r="AQ77" i="4"/>
  <c r="G108" i="15"/>
  <c r="K58" i="69" a="1"/>
  <c r="K58" i="69" s="1"/>
  <c r="H22" i="72"/>
  <c r="H22" i="69"/>
  <c r="DE97" i="4"/>
  <c r="DI3" i="4" a="1"/>
  <c r="BR85" i="4"/>
  <c r="AD85" i="72" s="1"/>
  <c r="AP67" i="72" a="1"/>
  <c r="AP67" i="72" s="1"/>
  <c r="AT57" i="72" a="1"/>
  <c r="AT57" i="72" s="1"/>
  <c r="BS108" i="4"/>
  <c r="BR88" i="4"/>
  <c r="AQ95" i="4"/>
  <c r="AR95" i="4"/>
  <c r="AX1569" i="13"/>
  <c r="AV1569" i="13"/>
  <c r="AV1668" i="13" s="1"/>
  <c r="A1668" i="13"/>
  <c r="AX1668" i="13" s="1"/>
  <c r="T51" i="4"/>
  <c r="Z1643" i="13"/>
  <c r="S51" i="4"/>
  <c r="AW27" i="72" a="1"/>
  <c r="AW27" i="72" s="1"/>
  <c r="Y73" i="4"/>
  <c r="AU73" i="4"/>
  <c r="AT73" i="4" a="1"/>
  <c r="AT73" i="4" s="1"/>
  <c r="AV73" i="4" a="1"/>
  <c r="AV73" i="4" s="1"/>
  <c r="CA73" i="4"/>
  <c r="BQ73" i="4"/>
  <c r="AK50" i="69" a="1"/>
  <c r="AK50" i="69" s="1"/>
  <c r="BC1770" i="13"/>
  <c r="Z1617" i="13"/>
  <c r="S25" i="4"/>
  <c r="T25" i="4"/>
  <c r="AP97" i="4"/>
  <c r="AV357" i="13"/>
  <c r="AQ73" i="69" a="1"/>
  <c r="AQ73" i="69" s="1"/>
  <c r="BN69" i="72" a="1"/>
  <c r="BN69" i="72" s="1"/>
  <c r="K93" i="72" a="1"/>
  <c r="K93" i="72" s="1"/>
  <c r="AF49" i="69" a="1"/>
  <c r="AF49" i="69" s="1"/>
  <c r="AV49" i="69" a="1"/>
  <c r="AV49" i="69" s="1"/>
  <c r="AQ49" i="69" a="1"/>
  <c r="AQ49" i="69" s="1"/>
  <c r="AG49" i="69" a="1"/>
  <c r="AG49" i="69" s="1"/>
  <c r="AR49" i="69" a="1"/>
  <c r="AR49" i="69" s="1"/>
  <c r="AJ49" i="69" a="1"/>
  <c r="AJ49" i="69" s="1"/>
  <c r="AU49" i="69" a="1"/>
  <c r="AU49" i="69" s="1"/>
  <c r="AL49" i="69" a="1"/>
  <c r="AL49" i="69" s="1"/>
  <c r="AP49" i="69" a="1"/>
  <c r="AP49" i="69" s="1"/>
  <c r="AH49" i="69" a="1"/>
  <c r="AH49" i="69" s="1"/>
  <c r="AS49" i="69" a="1"/>
  <c r="AS49" i="69" s="1"/>
  <c r="Y62" i="4"/>
  <c r="AV62" i="4" a="1"/>
  <c r="AV62" i="4" s="1"/>
  <c r="AT62" i="4" a="1"/>
  <c r="AT62" i="4" s="1"/>
  <c r="AU62" i="4"/>
  <c r="CA62" i="4"/>
  <c r="BQ62" i="4"/>
  <c r="CY62" i="4"/>
  <c r="CZ62" i="4" s="1"/>
  <c r="AP21" i="72" a="1"/>
  <c r="AP21" i="72" s="1"/>
  <c r="AF21" i="72" a="1"/>
  <c r="AF21" i="72" s="1"/>
  <c r="BA21" i="72" a="1"/>
  <c r="BA21" i="72" s="1"/>
  <c r="AZ21" i="72" a="1"/>
  <c r="AZ21" i="72" s="1"/>
  <c r="AV21" i="72" a="1"/>
  <c r="AV21" i="72" s="1"/>
  <c r="AU21" i="72" a="1"/>
  <c r="AU21" i="72" s="1"/>
  <c r="AG21" i="72" a="1"/>
  <c r="AG21" i="72" s="1"/>
  <c r="AW21" i="72" a="1"/>
  <c r="AW21" i="72" s="1"/>
  <c r="AO21" i="72" a="1"/>
  <c r="AO21" i="72" s="1"/>
  <c r="AQ21" i="72" a="1"/>
  <c r="AQ21" i="72" s="1"/>
  <c r="AL21" i="72" a="1"/>
  <c r="AL21" i="72" s="1"/>
  <c r="AX21" i="72" a="1"/>
  <c r="AX21" i="72" s="1"/>
  <c r="T15" i="4"/>
  <c r="S15" i="4"/>
  <c r="Z1607" i="13"/>
  <c r="AX1553" i="13"/>
  <c r="A1652" i="13"/>
  <c r="AX1652" i="13" s="1"/>
  <c r="AV1553" i="13"/>
  <c r="AV1652" i="13" s="1"/>
  <c r="A1677" i="13"/>
  <c r="AX1677" i="13" s="1"/>
  <c r="AV1578" i="13"/>
  <c r="AV1677" i="13" s="1"/>
  <c r="AX1578" i="13"/>
  <c r="AG3" i="1" a="1"/>
  <c r="AG3" i="1" s="1"/>
  <c r="AG101" i="1" s="1"/>
  <c r="BM62" i="4"/>
  <c r="BE62" i="4" s="1" a="1"/>
  <c r="BE62" i="4" s="1"/>
  <c r="BI62" i="72"/>
  <c r="BD62" i="69"/>
  <c r="T69" i="4"/>
  <c r="Z1661" i="13"/>
  <c r="S69" i="4"/>
  <c r="C52" i="69"/>
  <c r="D52" i="69" s="1" a="1"/>
  <c r="D52" i="69" s="1"/>
  <c r="C52" i="72"/>
  <c r="D52" i="72" s="1" a="1"/>
  <c r="D52" i="72" s="1"/>
  <c r="AH21" i="69" a="1"/>
  <c r="AH21" i="69" s="1"/>
  <c r="AP21" i="69" a="1"/>
  <c r="AP21" i="69" s="1"/>
  <c r="AV21" i="69" a="1"/>
  <c r="AV21" i="69" s="1"/>
  <c r="AR21" i="69" a="1"/>
  <c r="AR21" i="69" s="1"/>
  <c r="AG21" i="69" a="1"/>
  <c r="AG21" i="69" s="1"/>
  <c r="AI21" i="69" a="1"/>
  <c r="AI21" i="69" s="1"/>
  <c r="AL21" i="69" a="1"/>
  <c r="AL21" i="69" s="1"/>
  <c r="AF21" i="69" a="1"/>
  <c r="AF21" i="69" s="1"/>
  <c r="AQ21" i="69" a="1"/>
  <c r="AQ21" i="69" s="1"/>
  <c r="AJ21" i="69" a="1"/>
  <c r="AJ21" i="69" s="1"/>
  <c r="AU21" i="69" a="1"/>
  <c r="AU21" i="69" s="1"/>
  <c r="AS21" i="69" a="1"/>
  <c r="AS21" i="69" s="1"/>
  <c r="AX20" i="72" a="1"/>
  <c r="AX20" i="72" s="1"/>
  <c r="AG20" i="72" a="1"/>
  <c r="AG20" i="72" s="1"/>
  <c r="AW20" i="72" a="1"/>
  <c r="AW20" i="72" s="1"/>
  <c r="AV20" i="72" a="1"/>
  <c r="AV20" i="72" s="1"/>
  <c r="AO20" i="72" a="1"/>
  <c r="AO20" i="72" s="1"/>
  <c r="AZ20" i="72" a="1"/>
  <c r="AZ20" i="72" s="1"/>
  <c r="AU20" i="72" a="1"/>
  <c r="AU20" i="72" s="1"/>
  <c r="AL20" i="72" a="1"/>
  <c r="AL20" i="72" s="1"/>
  <c r="AF20" i="72" a="1"/>
  <c r="AF20" i="72" s="1"/>
  <c r="BA20" i="72" a="1"/>
  <c r="BA20" i="72" s="1"/>
  <c r="AQ20" i="72" a="1"/>
  <c r="AQ20" i="72" s="1"/>
  <c r="H37" i="72"/>
  <c r="H37" i="69"/>
  <c r="S24" i="4"/>
  <c r="T24" i="4"/>
  <c r="Z1616" i="13"/>
  <c r="AG70" i="69" a="1"/>
  <c r="AG70" i="69" s="1"/>
  <c r="AV65" i="72" a="1"/>
  <c r="AV65" i="72" s="1"/>
  <c r="AR41" i="69" a="1"/>
  <c r="AR41" i="69" s="1"/>
  <c r="AG37" i="69" a="1"/>
  <c r="AG37" i="69" s="1"/>
  <c r="AI13" i="69" a="1"/>
  <c r="AI13" i="69" s="1"/>
  <c r="T46" i="4"/>
  <c r="S46" i="4"/>
  <c r="Z1638" i="13"/>
  <c r="T96" i="4"/>
  <c r="S96" i="4"/>
  <c r="Z1688" i="13"/>
  <c r="AX1582" i="13"/>
  <c r="A1681" i="13"/>
  <c r="AX1681" i="13" s="1"/>
  <c r="AV1582" i="13"/>
  <c r="AV1681" i="13" s="1"/>
  <c r="C11" i="69"/>
  <c r="D11" i="69" s="1" a="1"/>
  <c r="D11" i="69" s="1"/>
  <c r="C11" i="72"/>
  <c r="D11" i="72" s="1" a="1"/>
  <c r="D11" i="72" s="1"/>
  <c r="AV1547" i="13"/>
  <c r="AV1646" i="13" s="1"/>
  <c r="AX1547" i="13"/>
  <c r="A1646" i="13"/>
  <c r="AX1646" i="13" s="1"/>
  <c r="A1638" i="13"/>
  <c r="AX1638" i="13" s="1"/>
  <c r="AV1539" i="13"/>
  <c r="AV1638" i="13" s="1"/>
  <c r="AX1539" i="13"/>
  <c r="AT83" i="72" a="1"/>
  <c r="AT83" i="72" s="1"/>
  <c r="AQ83" i="72" a="1"/>
  <c r="AQ83" i="72" s="1"/>
  <c r="BA83" i="72" a="1"/>
  <c r="BA83" i="72" s="1"/>
  <c r="AU83" i="72" a="1"/>
  <c r="AU83" i="72" s="1"/>
  <c r="AV83" i="72" a="1"/>
  <c r="AV83" i="72" s="1"/>
  <c r="AZ83" i="72" a="1"/>
  <c r="AZ83" i="72" s="1"/>
  <c r="AL83" i="72" a="1"/>
  <c r="AL83" i="72" s="1"/>
  <c r="AW83" i="72" a="1"/>
  <c r="AW83" i="72" s="1"/>
  <c r="AO83" i="72" a="1"/>
  <c r="AO83" i="72" s="1"/>
  <c r="AF83" i="72" a="1"/>
  <c r="AF83" i="72" s="1"/>
  <c r="AG83" i="72" a="1"/>
  <c r="AG83" i="72" s="1"/>
  <c r="AX83" i="72" a="1"/>
  <c r="AX83" i="72" s="1"/>
  <c r="AQ61" i="4"/>
  <c r="AR61" i="4"/>
  <c r="AZ60" i="72" a="1"/>
  <c r="AZ60" i="72" s="1"/>
  <c r="BA60" i="72" a="1"/>
  <c r="BA60" i="72" s="1"/>
  <c r="AQ60" i="72" a="1"/>
  <c r="AQ60" i="72" s="1"/>
  <c r="AO60" i="72" a="1"/>
  <c r="AO60" i="72" s="1"/>
  <c r="AF60" i="72" a="1"/>
  <c r="AF60" i="72" s="1"/>
  <c r="AL60" i="72" a="1"/>
  <c r="AL60" i="72" s="1"/>
  <c r="AU60" i="72" a="1"/>
  <c r="AU60" i="72" s="1"/>
  <c r="AG60" i="72" a="1"/>
  <c r="AG60" i="72" s="1"/>
  <c r="K60" i="72" a="1"/>
  <c r="K60" i="72" s="1"/>
  <c r="O76" i="72"/>
  <c r="BF76" i="69"/>
  <c r="O76" i="69"/>
  <c r="BK76" i="72"/>
  <c r="AV92" i="72" a="1"/>
  <c r="AV92" i="72" s="1"/>
  <c r="AQ15" i="69" a="1"/>
  <c r="AQ15" i="69" s="1"/>
  <c r="K56" i="72" a="1"/>
  <c r="K56" i="72" s="1"/>
  <c r="G91" i="15"/>
  <c r="BN67" i="72" a="1"/>
  <c r="BN67" i="72" s="1"/>
  <c r="AI72" i="69" a="1"/>
  <c r="AI72" i="69" s="1"/>
  <c r="K78" i="72" a="1"/>
  <c r="K78" i="72" s="1"/>
  <c r="AS81" i="69" a="1"/>
  <c r="AS81" i="69" s="1"/>
  <c r="AJ81" i="69" a="1"/>
  <c r="AJ81" i="69" s="1"/>
  <c r="AH81" i="69" a="1"/>
  <c r="AH81" i="69" s="1"/>
  <c r="AU81" i="69" a="1"/>
  <c r="AU81" i="69" s="1"/>
  <c r="AL81" i="69" a="1"/>
  <c r="AL81" i="69" s="1"/>
  <c r="AV81" i="69" a="1"/>
  <c r="AV81" i="69" s="1"/>
  <c r="AF81" i="69" a="1"/>
  <c r="AF81" i="69" s="1"/>
  <c r="AP81" i="69" a="1"/>
  <c r="AP81" i="69" s="1"/>
  <c r="AQ81" i="69" a="1"/>
  <c r="AQ81" i="69" s="1"/>
  <c r="AG81" i="69" a="1"/>
  <c r="AG81" i="69" s="1"/>
  <c r="AR59" i="69" a="1"/>
  <c r="AR59" i="69" s="1"/>
  <c r="K57" i="72" a="1"/>
  <c r="K57" i="72" s="1"/>
  <c r="AP56" i="72" a="1"/>
  <c r="AP56" i="72" s="1"/>
  <c r="AS82" i="69" a="1"/>
  <c r="AS82" i="69" s="1"/>
  <c r="AL82" i="69" a="1"/>
  <c r="AL82" i="69" s="1"/>
  <c r="AU82" i="69" a="1"/>
  <c r="AU82" i="69" s="1"/>
  <c r="AV82" i="69" a="1"/>
  <c r="AV82" i="69" s="1"/>
  <c r="AH82" i="69" a="1"/>
  <c r="AH82" i="69" s="1"/>
  <c r="AP82" i="69" a="1"/>
  <c r="AP82" i="69" s="1"/>
  <c r="AF82" i="69" a="1"/>
  <c r="AF82" i="69" s="1"/>
  <c r="AR82" i="69" a="1"/>
  <c r="AR82" i="69" s="1"/>
  <c r="AI82" i="69" a="1"/>
  <c r="AI82" i="69" s="1"/>
  <c r="BK23" i="69"/>
  <c r="BJ23" i="69" s="1"/>
  <c r="BM23" i="69" s="1"/>
  <c r="BO23" i="69"/>
  <c r="BB23" i="69"/>
  <c r="R23" i="69"/>
  <c r="AY23" i="69"/>
  <c r="BH23" i="69" a="1"/>
  <c r="BH23" i="69" s="1"/>
  <c r="C35" i="72"/>
  <c r="D35" i="72" s="1" a="1"/>
  <c r="D35" i="72" s="1"/>
  <c r="C35" i="69"/>
  <c r="D35" i="69" s="1" a="1"/>
  <c r="D35" i="69" s="1"/>
  <c r="AT52" i="72" a="1"/>
  <c r="AT52" i="72" s="1"/>
  <c r="AT80" i="72" a="1"/>
  <c r="AT80" i="72" s="1"/>
  <c r="BR62" i="4"/>
  <c r="AD62" i="72" s="1"/>
  <c r="AT65" i="4" a="1"/>
  <c r="AT65" i="4" s="1"/>
  <c r="AU65" i="4"/>
  <c r="AV65" i="4" a="1"/>
  <c r="AV65" i="4" s="1"/>
  <c r="Y65" i="4"/>
  <c r="BQ65" i="4"/>
  <c r="CA65" i="4"/>
  <c r="BN22" i="72" a="1"/>
  <c r="BN22" i="72" s="1"/>
  <c r="BN83" i="72" a="1"/>
  <c r="BN83" i="72" s="1"/>
  <c r="BA73" i="72" a="1"/>
  <c r="BA73" i="72" s="1"/>
  <c r="AQ73" i="72" a="1"/>
  <c r="AQ73" i="72" s="1"/>
  <c r="AU73" i="72" a="1"/>
  <c r="AU73" i="72" s="1"/>
  <c r="AF73" i="72" a="1"/>
  <c r="AF73" i="72" s="1"/>
  <c r="AO73" i="72" a="1"/>
  <c r="AO73" i="72" s="1"/>
  <c r="AL73" i="72" a="1"/>
  <c r="AL73" i="72" s="1"/>
  <c r="AZ73" i="72" a="1"/>
  <c r="AZ73" i="72" s="1"/>
  <c r="AV73" i="72" a="1"/>
  <c r="AV73" i="72" s="1"/>
  <c r="AX73" i="72" a="1"/>
  <c r="AX73" i="72" s="1"/>
  <c r="AR64" i="4"/>
  <c r="AQ64" i="4"/>
  <c r="H52" i="69"/>
  <c r="H52" i="72"/>
  <c r="S58" i="4"/>
  <c r="Z1650" i="13"/>
  <c r="T58" i="4"/>
  <c r="AP80" i="72" a="1"/>
  <c r="AP80" i="72" s="1"/>
  <c r="AQ45" i="69" a="1"/>
  <c r="AQ45" i="69" s="1"/>
  <c r="AG65" i="72" a="1"/>
  <c r="AG65" i="72" s="1"/>
  <c r="AG19" i="72" a="1"/>
  <c r="AG19" i="72" s="1"/>
  <c r="AQ92" i="69" a="1"/>
  <c r="AQ92" i="69" s="1"/>
  <c r="AQ37" i="69" a="1"/>
  <c r="AQ37" i="69" s="1"/>
  <c r="AQ68" i="69" a="1"/>
  <c r="AQ68" i="69" s="1"/>
  <c r="AG22" i="69" a="1"/>
  <c r="AG22" i="69" s="1"/>
  <c r="AV66" i="72" a="1"/>
  <c r="AV66" i="72" s="1"/>
  <c r="F55" i="69"/>
  <c r="AD97" i="4"/>
  <c r="AV1563" i="13"/>
  <c r="AV1662" i="13" s="1"/>
  <c r="AX1563" i="13"/>
  <c r="A1662" i="13"/>
  <c r="AX1662" i="13" s="1"/>
  <c r="AV61" i="4" a="1"/>
  <c r="AV61" i="4" s="1"/>
  <c r="AU61" i="4"/>
  <c r="AT61" i="4" a="1"/>
  <c r="AT61" i="4" s="1"/>
  <c r="Y61" i="4"/>
  <c r="BQ61" i="4"/>
  <c r="CA61" i="4"/>
  <c r="AV1571" i="13"/>
  <c r="AV1670" i="13" s="1"/>
  <c r="AX1571" i="13"/>
  <c r="A1670" i="13"/>
  <c r="AX1670" i="13" s="1"/>
  <c r="AQ76" i="4"/>
  <c r="AR76" i="4"/>
  <c r="AV1772" i="13"/>
  <c r="AB1772" i="13"/>
  <c r="AV1479" i="13"/>
  <c r="U55" i="69" a="1"/>
  <c r="U55" i="69" s="1"/>
  <c r="U97" i="69" s="1"/>
  <c r="P55" i="69"/>
  <c r="AW55" i="69"/>
  <c r="M55" i="69"/>
  <c r="S55" i="69"/>
  <c r="S97" i="69" s="1"/>
  <c r="Z55" i="69"/>
  <c r="AM55" i="69"/>
  <c r="W55" i="69"/>
  <c r="BK55" i="69" s="1"/>
  <c r="AA55" i="69"/>
  <c r="AC55" i="69"/>
  <c r="J55" i="69"/>
  <c r="V55" i="69"/>
  <c r="Y55" i="69"/>
  <c r="Q55" i="69"/>
  <c r="T55" i="69"/>
  <c r="B8" i="27" s="1"/>
  <c r="K55" i="69" a="1"/>
  <c r="K55" i="69" s="1"/>
  <c r="A55" i="69"/>
  <c r="AX55" i="69"/>
  <c r="AN55" i="69"/>
  <c r="G55" i="69"/>
  <c r="AB55" i="69" a="1"/>
  <c r="AB55" i="69" s="1"/>
  <c r="N55" i="69" a="1"/>
  <c r="N55" i="69" s="1"/>
  <c r="BP55" i="69"/>
  <c r="K94" i="69" a="1"/>
  <c r="K94" i="69" s="1"/>
  <c r="X98" i="69"/>
  <c r="K63" i="69" a="1"/>
  <c r="K63" i="69" s="1"/>
  <c r="K95" i="69" a="1"/>
  <c r="K95" i="69" s="1"/>
  <c r="K77" i="69" a="1"/>
  <c r="K77" i="69" s="1"/>
  <c r="K62" i="69" a="1"/>
  <c r="K62" i="69" s="1"/>
  <c r="K88" i="69" a="1"/>
  <c r="K88" i="69" s="1"/>
  <c r="K96" i="69" a="1"/>
  <c r="K96" i="69" s="1"/>
  <c r="K85" i="69" a="1"/>
  <c r="K85" i="69" s="1"/>
  <c r="K86" i="69" a="1"/>
  <c r="K86" i="69" s="1"/>
  <c r="K83" i="69" a="1"/>
  <c r="K83" i="69" s="1"/>
  <c r="K76" i="69" a="1"/>
  <c r="K76" i="69" s="1"/>
  <c r="K87" i="69" a="1"/>
  <c r="K87" i="69" s="1"/>
  <c r="K92" i="69" a="1"/>
  <c r="K92" i="69" s="1"/>
  <c r="K82" i="72" a="1"/>
  <c r="K82" i="72" s="1"/>
  <c r="AV93" i="72" a="1"/>
  <c r="AV93" i="72" s="1"/>
  <c r="S95" i="4"/>
  <c r="T95" i="4"/>
  <c r="Z1687" i="13"/>
  <c r="AV1476" i="13"/>
  <c r="Y95" i="4"/>
  <c r="AT95" i="4" a="1"/>
  <c r="AT95" i="4" s="1"/>
  <c r="AU95" i="4"/>
  <c r="AV95" i="4" a="1"/>
  <c r="AV95" i="4" s="1"/>
  <c r="BQ95" i="4"/>
  <c r="CY95" i="4"/>
  <c r="CZ95" i="4" s="1"/>
  <c r="CA95" i="4"/>
  <c r="BF61" i="69"/>
  <c r="AD61" i="72"/>
  <c r="O61" i="72"/>
  <c r="BK61" i="72"/>
  <c r="O61" i="69"/>
  <c r="K64" i="69" a="1"/>
  <c r="K64" i="69" s="1"/>
  <c r="AF66" i="69" a="1"/>
  <c r="AF66" i="69" s="1"/>
  <c r="AU66" i="69" a="1"/>
  <c r="AU66" i="69" s="1"/>
  <c r="AR66" i="69" a="1"/>
  <c r="AR66" i="69" s="1"/>
  <c r="AV66" i="69" a="1"/>
  <c r="AV66" i="69" s="1"/>
  <c r="AH66" i="69" a="1"/>
  <c r="AH66" i="69" s="1"/>
  <c r="AP66" i="69" a="1"/>
  <c r="AP66" i="69" s="1"/>
  <c r="AQ66" i="69" a="1"/>
  <c r="AQ66" i="69" s="1"/>
  <c r="AL66" i="69" a="1"/>
  <c r="AL66" i="69" s="1"/>
  <c r="AI66" i="69" a="1"/>
  <c r="AI66" i="69" s="1"/>
  <c r="AJ66" i="69" a="1"/>
  <c r="AJ66" i="69" s="1"/>
  <c r="AS66" i="69" a="1"/>
  <c r="AS66" i="69" s="1"/>
  <c r="BF70" i="69"/>
  <c r="BK70" i="72"/>
  <c r="O70" i="72"/>
  <c r="O70" i="69"/>
  <c r="AP43" i="72" a="1"/>
  <c r="AP43" i="72" s="1"/>
  <c r="AQ43" i="72" a="1"/>
  <c r="AQ43" i="72" s="1"/>
  <c r="AZ43" i="72" a="1"/>
  <c r="AZ43" i="72" s="1"/>
  <c r="AO43" i="72" a="1"/>
  <c r="AO43" i="72" s="1"/>
  <c r="AL43" i="72" a="1"/>
  <c r="AL43" i="72" s="1"/>
  <c r="BA43" i="72" a="1"/>
  <c r="BA43" i="72" s="1"/>
  <c r="AU43" i="72" a="1"/>
  <c r="AU43" i="72" s="1"/>
  <c r="AG43" i="72" a="1"/>
  <c r="AG43" i="72" s="1"/>
  <c r="AW43" i="72" a="1"/>
  <c r="AW43" i="72" s="1"/>
  <c r="AF43" i="72" a="1"/>
  <c r="AF43" i="72" s="1"/>
  <c r="AV43" i="72" a="1"/>
  <c r="AV43" i="72" s="1"/>
  <c r="AX43" i="72" a="1"/>
  <c r="AX43" i="72" s="1"/>
  <c r="AT81" i="4" a="1"/>
  <c r="AT81" i="4" s="1"/>
  <c r="AV81" i="4" a="1"/>
  <c r="AV81" i="4" s="1"/>
  <c r="AU81" i="4"/>
  <c r="Y81" i="4"/>
  <c r="CA81" i="4"/>
  <c r="BQ81" i="4"/>
  <c r="BM74" i="4"/>
  <c r="BE74" i="4" s="1" a="1"/>
  <c r="BE74" i="4" s="1"/>
  <c r="BI74" i="72"/>
  <c r="AD74" i="69"/>
  <c r="BD74" i="69"/>
  <c r="AD74" i="72"/>
  <c r="O39" i="72"/>
  <c r="BK39" i="72"/>
  <c r="O39" i="69"/>
  <c r="BF39" i="69"/>
  <c r="H14" i="72"/>
  <c r="H14" i="69"/>
  <c r="AQ37" i="72" a="1"/>
  <c r="AQ37" i="72" s="1"/>
  <c r="AU37" i="72" a="1"/>
  <c r="AU37" i="72" s="1"/>
  <c r="AL37" i="72" a="1"/>
  <c r="AL37" i="72" s="1"/>
  <c r="BA37" i="72" a="1"/>
  <c r="BA37" i="72" s="1"/>
  <c r="AZ37" i="72" a="1"/>
  <c r="AZ37" i="72" s="1"/>
  <c r="AF37" i="72" a="1"/>
  <c r="AF37" i="72" s="1"/>
  <c r="AW37" i="72" a="1"/>
  <c r="AW37" i="72" s="1"/>
  <c r="AG37" i="72" a="1"/>
  <c r="AG37" i="72" s="1"/>
  <c r="AX37" i="72" a="1"/>
  <c r="AX37" i="72" s="1"/>
  <c r="AQ87" i="69" a="1"/>
  <c r="AQ87" i="69" s="1"/>
  <c r="AU58" i="4"/>
  <c r="Y58" i="4"/>
  <c r="AV58" i="4" a="1"/>
  <c r="AV58" i="4" s="1"/>
  <c r="AT58" i="4" a="1"/>
  <c r="AT58" i="4" s="1"/>
  <c r="CA58" i="4"/>
  <c r="BQ58" i="4"/>
  <c r="CY58" i="4"/>
  <c r="CZ58" i="4" s="1"/>
  <c r="AI27" i="69" a="1"/>
  <c r="AI27" i="69" s="1"/>
  <c r="AG44" i="72" a="1"/>
  <c r="AG44" i="72" s="1"/>
  <c r="AX1577" i="13"/>
  <c r="A1676" i="13"/>
  <c r="AX1676" i="13" s="1"/>
  <c r="AV1577" i="13"/>
  <c r="AV1676" i="13" s="1"/>
  <c r="BQ60" i="72" a="1"/>
  <c r="BQ60" i="72" s="1"/>
  <c r="BV60" i="72"/>
  <c r="AT60" i="72" a="1"/>
  <c r="AT60" i="72" s="1"/>
  <c r="BM78" i="4"/>
  <c r="BE78" i="4" s="1" a="1"/>
  <c r="BE78" i="4" s="1"/>
  <c r="BI78" i="72"/>
  <c r="AD78" i="72"/>
  <c r="BD78" i="69"/>
  <c r="AD78" i="69"/>
  <c r="AT70" i="72" a="1"/>
  <c r="AT70" i="72" s="1"/>
  <c r="A1684" i="13"/>
  <c r="AX1684" i="13" s="1"/>
  <c r="AV1585" i="13"/>
  <c r="AV1684" i="13" s="1"/>
  <c r="AX1585" i="13"/>
  <c r="BL60" i="69" a="1"/>
  <c r="BL60" i="69" s="1"/>
  <c r="BB60" i="69"/>
  <c r="AY60" i="69"/>
  <c r="BH60" i="69" a="1"/>
  <c r="BH60" i="69" s="1"/>
  <c r="R60" i="69"/>
  <c r="BO60" i="69"/>
  <c r="I185" i="15" a="1"/>
  <c r="I185" i="15" s="1"/>
  <c r="AP70" i="72" a="1"/>
  <c r="AP70" i="72" s="1"/>
  <c r="C22" i="72"/>
  <c r="D22" i="72" s="1" a="1"/>
  <c r="D22" i="72" s="1"/>
  <c r="C22" i="69"/>
  <c r="D22" i="69" s="1" a="1"/>
  <c r="D22" i="69" s="1"/>
  <c r="BI8" i="69" a="1"/>
  <c r="BI8" i="69" s="1"/>
  <c r="AR8" i="69" a="1"/>
  <c r="AR8" i="69" s="1"/>
  <c r="AL8" i="69" a="1"/>
  <c r="AL8" i="69" s="1"/>
  <c r="AP8" i="69" a="1"/>
  <c r="AP8" i="69" s="1"/>
  <c r="AV8" i="69" a="1"/>
  <c r="AV8" i="69" s="1"/>
  <c r="AJ8" i="69" a="1"/>
  <c r="AJ8" i="69" s="1"/>
  <c r="AG8" i="69" a="1"/>
  <c r="AG8" i="69" s="1"/>
  <c r="AQ8" i="69" a="1"/>
  <c r="AQ8" i="69" s="1"/>
  <c r="AI8" i="69" a="1"/>
  <c r="AI8" i="69" s="1"/>
  <c r="AF8" i="69" a="1"/>
  <c r="AF8" i="69" s="1"/>
  <c r="AH8" i="69" a="1"/>
  <c r="AH8" i="69" s="1"/>
  <c r="AU8" i="69" a="1"/>
  <c r="AU8" i="69" s="1"/>
  <c r="AS8" i="69" a="1"/>
  <c r="AS8" i="69" s="1"/>
  <c r="BM87" i="4"/>
  <c r="BE87" i="4" s="1" a="1"/>
  <c r="BE87" i="4" s="1"/>
  <c r="BD87" i="69"/>
  <c r="AD87" i="72"/>
  <c r="BI87" i="72"/>
  <c r="Z1624" i="13"/>
  <c r="T32" i="4"/>
  <c r="S32" i="4"/>
  <c r="T22" i="4"/>
  <c r="S22" i="4"/>
  <c r="Z1614" i="13"/>
  <c r="AV1572" i="13"/>
  <c r="AV1671" i="13" s="1"/>
  <c r="A1671" i="13"/>
  <c r="AX1671" i="13" s="1"/>
  <c r="AX1572" i="13"/>
  <c r="AP47" i="72" a="1"/>
  <c r="AP47" i="72" s="1"/>
  <c r="AV47" i="72" a="1"/>
  <c r="AV47" i="72" s="1"/>
  <c r="AF47" i="72" a="1"/>
  <c r="AF47" i="72" s="1"/>
  <c r="AZ47" i="72" a="1"/>
  <c r="AZ47" i="72" s="1"/>
  <c r="AL47" i="72" a="1"/>
  <c r="AL47" i="72" s="1"/>
  <c r="AW47" i="72" a="1"/>
  <c r="AW47" i="72" s="1"/>
  <c r="AG47" i="72" a="1"/>
  <c r="AG47" i="72" s="1"/>
  <c r="AO47" i="72" a="1"/>
  <c r="AO47" i="72" s="1"/>
  <c r="AU47" i="72" a="1"/>
  <c r="AU47" i="72" s="1"/>
  <c r="BA47" i="72" a="1"/>
  <c r="BA47" i="72" s="1"/>
  <c r="AQ47" i="72" a="1"/>
  <c r="AQ47" i="72" s="1"/>
  <c r="AX47" i="72" a="1"/>
  <c r="AX47" i="72" s="1"/>
  <c r="AV90" i="69" a="1"/>
  <c r="AV90" i="69" s="1"/>
  <c r="AU90" i="69" a="1"/>
  <c r="AU90" i="69" s="1"/>
  <c r="AP90" i="69" a="1"/>
  <c r="AP90" i="69" s="1"/>
  <c r="AL90" i="69" a="1"/>
  <c r="AL90" i="69" s="1"/>
  <c r="AF90" i="69" a="1"/>
  <c r="AF90" i="69" s="1"/>
  <c r="AQ90" i="69" a="1"/>
  <c r="AQ90" i="69" s="1"/>
  <c r="AI90" i="69" a="1"/>
  <c r="AI90" i="69" s="1"/>
  <c r="AH90" i="69" a="1"/>
  <c r="AH90" i="69" s="1"/>
  <c r="AJ90" i="69" a="1"/>
  <c r="AJ90" i="69" s="1"/>
  <c r="AS90" i="69" a="1"/>
  <c r="AS90" i="69" s="1"/>
  <c r="Z1674" i="13"/>
  <c r="S82" i="4"/>
  <c r="T82" i="4"/>
  <c r="AY23" i="72" a="1"/>
  <c r="AY23" i="72" s="1"/>
  <c r="AV1523" i="13"/>
  <c r="AV1622" i="13" s="1"/>
  <c r="A1622" i="13"/>
  <c r="AX1622" i="13" s="1"/>
  <c r="AX1523" i="13"/>
  <c r="BN56" i="72" a="1"/>
  <c r="BN56" i="72" s="1"/>
  <c r="AG93" i="72" a="1"/>
  <c r="AG93" i="72" s="1"/>
  <c r="AE23" i="69" a="1"/>
  <c r="AE23" i="69" s="1"/>
  <c r="AK23" i="69" s="1" a="1"/>
  <c r="AK23" i="69" s="1"/>
  <c r="BA23" i="69"/>
  <c r="AZ23" i="69"/>
  <c r="F97" i="4"/>
  <c r="BC105" i="4" s="1"/>
  <c r="DV55" i="4"/>
  <c r="BL55" i="4"/>
  <c r="BD103" i="4" s="1"/>
  <c r="AV557" i="13"/>
  <c r="BH55" i="4"/>
  <c r="BH97" i="4" s="1"/>
  <c r="BE108" i="4" s="1"/>
  <c r="S19" i="4"/>
  <c r="Z1611" i="13"/>
  <c r="T19" i="4"/>
  <c r="AV1560" i="13"/>
  <c r="AV1659" i="13" s="1"/>
  <c r="A1659" i="13"/>
  <c r="AX1659" i="13" s="1"/>
  <c r="AX1560" i="13"/>
  <c r="BN13" i="72" a="1"/>
  <c r="BN13" i="72" s="1"/>
  <c r="AZ13" i="72" a="1"/>
  <c r="AZ13" i="72" s="1"/>
  <c r="AQ13" i="72" a="1"/>
  <c r="AQ13" i="72" s="1"/>
  <c r="AG13" i="72" a="1"/>
  <c r="AG13" i="72" s="1"/>
  <c r="AV13" i="72" a="1"/>
  <c r="AV13" i="72" s="1"/>
  <c r="AW13" i="72" a="1"/>
  <c r="AW13" i="72" s="1"/>
  <c r="AO13" i="72" a="1"/>
  <c r="AO13" i="72" s="1"/>
  <c r="AU13" i="72" a="1"/>
  <c r="AU13" i="72" s="1"/>
  <c r="AF13" i="72" a="1"/>
  <c r="AF13" i="72" s="1"/>
  <c r="AL13" i="72" a="1"/>
  <c r="AL13" i="72" s="1"/>
  <c r="BA13" i="72" a="1"/>
  <c r="BA13" i="72" s="1"/>
  <c r="AX13" i="72" a="1"/>
  <c r="AX13" i="72" s="1"/>
  <c r="BN61" i="72" a="1"/>
  <c r="BN61" i="72" s="1"/>
  <c r="X65" i="4"/>
  <c r="AK69" i="69" a="1"/>
  <c r="AK69" i="69" s="1"/>
  <c r="AH69" i="69" a="1"/>
  <c r="AH69" i="69" s="1"/>
  <c r="AV69" i="69" a="1"/>
  <c r="AV69" i="69" s="1"/>
  <c r="AL69" i="69" a="1"/>
  <c r="AL69" i="69" s="1"/>
  <c r="AF69" i="69" a="1"/>
  <c r="AF69" i="69" s="1"/>
  <c r="AI69" i="69" a="1"/>
  <c r="AI69" i="69" s="1"/>
  <c r="AJ69" i="69" a="1"/>
  <c r="AJ69" i="69" s="1"/>
  <c r="AG69" i="69" a="1"/>
  <c r="AG69" i="69" s="1"/>
  <c r="AU69" i="69" a="1"/>
  <c r="AU69" i="69" s="1"/>
  <c r="AP69" i="69" a="1"/>
  <c r="AP69" i="69" s="1"/>
  <c r="AQ69" i="69" a="1"/>
  <c r="AQ69" i="69" s="1"/>
  <c r="AR69" i="69" a="1"/>
  <c r="AR69" i="69" s="1"/>
  <c r="AS69" i="69" a="1"/>
  <c r="AS69" i="69" s="1"/>
  <c r="C19" i="72"/>
  <c r="D19" i="72" s="1" a="1"/>
  <c r="D19" i="72" s="1"/>
  <c r="C19" i="69"/>
  <c r="D19" i="69" s="1" a="1"/>
  <c r="D19" i="69" s="1"/>
  <c r="AK56" i="69" a="1"/>
  <c r="AK56" i="69" s="1"/>
  <c r="AP22" i="72" a="1"/>
  <c r="AP22" i="72" s="1"/>
  <c r="AV1468" i="13"/>
  <c r="T66" i="4"/>
  <c r="Z1658" i="13"/>
  <c r="S66" i="4"/>
  <c r="AP83" i="72" a="1"/>
  <c r="AP83" i="72" s="1"/>
  <c r="AU90" i="4"/>
  <c r="AV90" i="4" a="1"/>
  <c r="AV90" i="4" s="1"/>
  <c r="AT90" i="4" a="1"/>
  <c r="AT90" i="4" s="1"/>
  <c r="Y90" i="4"/>
  <c r="CY90" i="4"/>
  <c r="CZ90" i="4" s="1"/>
  <c r="BQ90" i="4"/>
  <c r="CA90" i="4"/>
  <c r="K67" i="69" a="1"/>
  <c r="K67" i="69" s="1"/>
  <c r="AG89" i="72" a="1"/>
  <c r="AG89" i="72" s="1"/>
  <c r="AP12" i="72" a="1"/>
  <c r="AP12" i="72" s="1"/>
  <c r="BN59" i="72" a="1"/>
  <c r="BN59" i="72" s="1"/>
  <c r="C37" i="69"/>
  <c r="D37" i="69" s="1" a="1"/>
  <c r="D37" i="69" s="1"/>
  <c r="C37" i="72"/>
  <c r="D37" i="72" s="1" a="1"/>
  <c r="D37" i="72" s="1"/>
  <c r="AV30" i="72" a="1"/>
  <c r="AV30" i="72" s="1"/>
  <c r="AR39" i="69" a="1"/>
  <c r="AR39" i="69" s="1"/>
  <c r="AR70" i="69" a="1"/>
  <c r="AR70" i="69" s="1"/>
  <c r="AW19" i="72" a="1"/>
  <c r="AW19" i="72" s="1"/>
  <c r="AI29" i="69" a="1"/>
  <c r="AI29" i="69" s="1"/>
  <c r="AQ79" i="69" a="1"/>
  <c r="AQ79" i="69" s="1"/>
  <c r="AW5" i="72" a="1"/>
  <c r="AW5" i="72" s="1"/>
  <c r="AG77" i="69" a="1"/>
  <c r="AG77" i="69" s="1"/>
  <c r="AR84" i="69" a="1"/>
  <c r="AR84" i="69" s="1"/>
  <c r="AR24" i="69" a="1"/>
  <c r="AR24" i="69" s="1"/>
  <c r="AV8" i="72" a="1"/>
  <c r="AV8" i="72" s="1"/>
  <c r="AR93" i="69" a="1"/>
  <c r="AR93" i="69" s="1"/>
  <c r="BG202" i="4"/>
  <c r="Z1731" i="13"/>
  <c r="AZ105" i="4"/>
  <c r="K81" i="72" a="1"/>
  <c r="K81" i="72" s="1"/>
  <c r="AB55" i="72" a="1"/>
  <c r="AB55" i="72" s="1"/>
  <c r="Z55" i="72"/>
  <c r="AR55" i="72"/>
  <c r="U55" i="72" a="1"/>
  <c r="U55" i="72" s="1"/>
  <c r="U97" i="72" s="1"/>
  <c r="BC55" i="72"/>
  <c r="S55" i="72"/>
  <c r="S97" i="72" s="1"/>
  <c r="K55" i="72" a="1"/>
  <c r="K55" i="72" s="1"/>
  <c r="P55" i="72"/>
  <c r="J55" i="72"/>
  <c r="Q55" i="72"/>
  <c r="A55" i="72"/>
  <c r="BU55" i="72"/>
  <c r="M55" i="72"/>
  <c r="T55" i="72"/>
  <c r="G55" i="72"/>
  <c r="V55" i="72"/>
  <c r="B55" i="72" s="1"/>
  <c r="AS55" i="72"/>
  <c r="BB55" i="72"/>
  <c r="N55" i="72" a="1"/>
  <c r="N55" i="72" s="1"/>
  <c r="Y55" i="72"/>
  <c r="AA55" i="72"/>
  <c r="AC55" i="72"/>
  <c r="W55" i="72"/>
  <c r="BP55" i="72" s="1"/>
  <c r="K61" i="72" a="1"/>
  <c r="K61" i="72" s="1"/>
  <c r="K85" i="72" a="1"/>
  <c r="K85" i="72" s="1"/>
  <c r="K83" i="72" a="1"/>
  <c r="K83" i="72" s="1"/>
  <c r="K68" i="72" a="1"/>
  <c r="K68" i="72" s="1"/>
  <c r="K62" i="72" a="1"/>
  <c r="K62" i="72" s="1"/>
  <c r="K92" i="72" a="1"/>
  <c r="K92" i="72" s="1"/>
  <c r="K86" i="72" a="1"/>
  <c r="K86" i="72" s="1"/>
  <c r="K87" i="72" a="1"/>
  <c r="K87" i="72" s="1"/>
  <c r="K80" i="72" a="1"/>
  <c r="K80" i="72" s="1"/>
  <c r="BT107" i="4"/>
  <c r="BR108" i="4" s="1"/>
  <c r="BM76" i="4"/>
  <c r="BE76" i="4" s="1" a="1"/>
  <c r="BE76" i="4" s="1"/>
  <c r="BD76" i="69"/>
  <c r="AD76" i="69"/>
  <c r="AD76" i="72"/>
  <c r="BI76" i="72"/>
  <c r="AV1575" i="13"/>
  <c r="AV1674" i="13" s="1"/>
  <c r="AX1575" i="13"/>
  <c r="A1674" i="13"/>
  <c r="AX1674" i="13" s="1"/>
  <c r="K96" i="72" a="1"/>
  <c r="K96" i="72" s="1"/>
  <c r="I179" i="15" a="1"/>
  <c r="I179" i="15" s="1"/>
  <c r="H16" i="72"/>
  <c r="H16" i="69"/>
  <c r="AU56" i="4"/>
  <c r="AV56" i="4" a="1"/>
  <c r="AV56" i="4" s="1"/>
  <c r="AT56" i="4" a="1"/>
  <c r="AT56" i="4" s="1"/>
  <c r="Y56" i="4"/>
  <c r="BQ56" i="4"/>
  <c r="CA56" i="4"/>
  <c r="H6" i="72"/>
  <c r="H6" i="69"/>
  <c r="T34" i="4"/>
  <c r="Z1626" i="13"/>
  <c r="S34" i="4"/>
  <c r="T13" i="4"/>
  <c r="S13" i="4"/>
  <c r="Z1605" i="13"/>
  <c r="C14" i="72"/>
  <c r="D14" i="72" s="1" a="1"/>
  <c r="D14" i="72" s="1"/>
  <c r="C14" i="69"/>
  <c r="D14" i="69" s="1" a="1"/>
  <c r="D14" i="69" s="1"/>
  <c r="BR58" i="4"/>
  <c r="BM59" i="4"/>
  <c r="BE59" i="4" s="1" a="1"/>
  <c r="BE59" i="4" s="1"/>
  <c r="AD59" i="69"/>
  <c r="BI59" i="72"/>
  <c r="BD59" i="69"/>
  <c r="AD59" i="72"/>
  <c r="T90" i="4"/>
  <c r="Z1682" i="13"/>
  <c r="S90" i="4"/>
  <c r="BH60" i="72"/>
  <c r="C60" i="72"/>
  <c r="D60" i="72" s="1" a="1"/>
  <c r="D60" i="72" s="1"/>
  <c r="AH60" i="72"/>
  <c r="AX1531" i="13"/>
  <c r="AV1531" i="13"/>
  <c r="AV1630" i="13" s="1"/>
  <c r="A1630" i="13"/>
  <c r="AX1630" i="13" s="1"/>
  <c r="AR80" i="4"/>
  <c r="AQ80" i="4"/>
  <c r="S70" i="4"/>
  <c r="T70" i="4"/>
  <c r="Z1662" i="13"/>
  <c r="AE60" i="69" a="1"/>
  <c r="AE60" i="69" s="1"/>
  <c r="BI60" i="69" s="1" a="1"/>
  <c r="BI60" i="69" s="1"/>
  <c r="BJ60" i="69"/>
  <c r="BM60" i="69" s="1"/>
  <c r="AZ60" i="69"/>
  <c r="BA60" i="69"/>
  <c r="AV1505" i="13"/>
  <c r="AV1604" i="13" s="1"/>
  <c r="A1604" i="13"/>
  <c r="AX1604" i="13" s="1"/>
  <c r="AX1505" i="13"/>
  <c r="AU64" i="4"/>
  <c r="AV64" i="4" a="1"/>
  <c r="AV64" i="4" s="1"/>
  <c r="AT64" i="4" a="1"/>
  <c r="AT64" i="4" s="1"/>
  <c r="Y64" i="4"/>
  <c r="CA64" i="4"/>
  <c r="BQ64" i="4"/>
  <c r="K68" i="69" a="1"/>
  <c r="K68" i="69" s="1"/>
  <c r="AT49" i="72" a="1"/>
  <c r="AT49" i="72" s="1"/>
  <c r="BK73" i="72"/>
  <c r="O73" i="72"/>
  <c r="BF73" i="69"/>
  <c r="O73" i="69"/>
  <c r="AX48" i="72" a="1"/>
  <c r="AX48" i="72" s="1"/>
  <c r="AQ48" i="72" a="1"/>
  <c r="AQ48" i="72" s="1"/>
  <c r="AO48" i="72" a="1"/>
  <c r="AO48" i="72" s="1"/>
  <c r="AG48" i="72" a="1"/>
  <c r="AG48" i="72" s="1"/>
  <c r="AV48" i="72" a="1"/>
  <c r="AV48" i="72" s="1"/>
  <c r="AF48" i="72" a="1"/>
  <c r="AF48" i="72" s="1"/>
  <c r="AZ48" i="72" a="1"/>
  <c r="AZ48" i="72" s="1"/>
  <c r="AU48" i="72" a="1"/>
  <c r="AU48" i="72" s="1"/>
  <c r="BA48" i="72" a="1"/>
  <c r="BA48" i="72" s="1"/>
  <c r="AL48" i="72" a="1"/>
  <c r="AL48" i="72" s="1"/>
  <c r="AP49" i="72" a="1"/>
  <c r="AP49" i="72" s="1"/>
  <c r="BE6" i="4" a="1"/>
  <c r="BE6" i="4" s="1"/>
  <c r="K82" i="69" a="1"/>
  <c r="K82" i="69" s="1"/>
  <c r="AG44" i="69" a="1"/>
  <c r="AG44" i="69" s="1"/>
  <c r="AT81" i="72" a="1"/>
  <c r="AT81" i="72" s="1"/>
  <c r="AG81" i="72" a="1"/>
  <c r="AG81" i="72" s="1"/>
  <c r="AW81" i="72" a="1"/>
  <c r="AW81" i="72" s="1"/>
  <c r="AF81" i="72" a="1"/>
  <c r="AF81" i="72" s="1"/>
  <c r="AL81" i="72" a="1"/>
  <c r="AL81" i="72" s="1"/>
  <c r="AU81" i="72" a="1"/>
  <c r="AU81" i="72" s="1"/>
  <c r="BA81" i="72" a="1"/>
  <c r="BA81" i="72" s="1"/>
  <c r="AO81" i="72" a="1"/>
  <c r="AO81" i="72" s="1"/>
  <c r="AV81" i="72" a="1"/>
  <c r="AV81" i="72" s="1"/>
  <c r="AZ81" i="72" a="1"/>
  <c r="AZ81" i="72" s="1"/>
  <c r="AQ81" i="72" a="1"/>
  <c r="AQ81" i="72" s="1"/>
  <c r="AX81" i="72" a="1"/>
  <c r="AX81" i="72" s="1"/>
  <c r="X98" i="72"/>
  <c r="BP23" i="72"/>
  <c r="BO23" i="72" s="1"/>
  <c r="BR23" i="72" s="1"/>
  <c r="AD23" i="72"/>
  <c r="AX1550" i="13"/>
  <c r="AV1550" i="13"/>
  <c r="AV1649" i="13" s="1"/>
  <c r="A1649" i="13"/>
  <c r="AX1649" i="13" s="1"/>
  <c r="A1607" i="13"/>
  <c r="AX1607" i="13" s="1"/>
  <c r="AV1508" i="13"/>
  <c r="AV1607" i="13" s="1"/>
  <c r="AX1508" i="13"/>
  <c r="AG27" i="72" a="1"/>
  <c r="AG27" i="72" s="1"/>
  <c r="AK28" i="69" a="1"/>
  <c r="AK28" i="69" s="1"/>
  <c r="AU84" i="4"/>
  <c r="AV84" i="4" a="1"/>
  <c r="AV84" i="4" s="1"/>
  <c r="AT84" i="4" a="1"/>
  <c r="AT84" i="4" s="1"/>
  <c r="Y84" i="4"/>
  <c r="CA84" i="4"/>
  <c r="BQ84" i="4"/>
  <c r="AD70" i="72"/>
  <c r="AL65" i="69" a="1"/>
  <c r="AL65" i="69" s="1"/>
  <c r="AU65" i="69" a="1"/>
  <c r="AU65" i="69" s="1"/>
  <c r="AG65" i="69" a="1"/>
  <c r="AG65" i="69" s="1"/>
  <c r="AQ65" i="69" a="1"/>
  <c r="AQ65" i="69" s="1"/>
  <c r="AH65" i="69" a="1"/>
  <c r="AH65" i="69" s="1"/>
  <c r="AJ65" i="69" a="1"/>
  <c r="AJ65" i="69" s="1"/>
  <c r="AF65" i="69" a="1"/>
  <c r="AF65" i="69" s="1"/>
  <c r="AP65" i="69" a="1"/>
  <c r="AP65" i="69" s="1"/>
  <c r="AV65" i="69" a="1"/>
  <c r="AV65" i="69" s="1"/>
  <c r="AS65" i="69" a="1"/>
  <c r="AS65" i="69" s="1"/>
  <c r="AH74" i="69" a="1"/>
  <c r="AH74" i="69" s="1"/>
  <c r="AP74" i="69" a="1"/>
  <c r="AP74" i="69" s="1"/>
  <c r="AI74" i="69" a="1"/>
  <c r="AI74" i="69" s="1"/>
  <c r="AQ74" i="69" a="1"/>
  <c r="AQ74" i="69" s="1"/>
  <c r="AG74" i="69" a="1"/>
  <c r="AG74" i="69" s="1"/>
  <c r="AV74" i="69" a="1"/>
  <c r="AV74" i="69" s="1"/>
  <c r="AF74" i="69" a="1"/>
  <c r="AF74" i="69" s="1"/>
  <c r="AL74" i="69" a="1"/>
  <c r="AL74" i="69" s="1"/>
  <c r="AU74" i="69" a="1"/>
  <c r="AU74" i="69" s="1"/>
  <c r="AS74" i="69" a="1"/>
  <c r="AS74" i="69" s="1"/>
  <c r="BC23" i="69"/>
  <c r="AV1418" i="13"/>
  <c r="Z1522" i="13"/>
  <c r="AX1418" i="13"/>
  <c r="A1517" i="13"/>
  <c r="CA55" i="4"/>
  <c r="Y55" i="4"/>
  <c r="AV55" i="4" a="1"/>
  <c r="AV55" i="4" s="1"/>
  <c r="C55" i="69" s="1"/>
  <c r="AT55" i="4" a="1"/>
  <c r="AT55" i="4" s="1"/>
  <c r="H55" i="69" s="1"/>
  <c r="AU55" i="4"/>
  <c r="BQ55" i="4"/>
  <c r="T20" i="4"/>
  <c r="S20" i="4"/>
  <c r="Z1612" i="13"/>
  <c r="AX1506" i="13"/>
  <c r="AV1506" i="13"/>
  <c r="AV1605" i="13" s="1"/>
  <c r="A1605" i="13"/>
  <c r="AX1605" i="13" s="1"/>
  <c r="BA1770" i="13"/>
  <c r="BF1766" i="13"/>
  <c r="BF1767" i="13"/>
  <c r="AT72" i="72" a="1"/>
  <c r="AT72" i="72" s="1"/>
  <c r="BN31" i="72" a="1"/>
  <c r="BN31" i="72" s="1"/>
  <c r="AP61" i="72" a="1"/>
  <c r="AP61" i="72" s="1"/>
  <c r="BA87" i="72" a="1"/>
  <c r="BA87" i="72" s="1"/>
  <c r="AL87" i="72" a="1"/>
  <c r="AL87" i="72" s="1"/>
  <c r="AO87" i="72" a="1"/>
  <c r="AO87" i="72" s="1"/>
  <c r="AW87" i="72" a="1"/>
  <c r="AW87" i="72" s="1"/>
  <c r="AF87" i="72" a="1"/>
  <c r="AF87" i="72" s="1"/>
  <c r="AU87" i="72" a="1"/>
  <c r="AU87" i="72" s="1"/>
  <c r="AG87" i="72" a="1"/>
  <c r="AG87" i="72" s="1"/>
  <c r="AQ87" i="72" a="1"/>
  <c r="AQ87" i="72" s="1"/>
  <c r="AZ87" i="72" a="1"/>
  <c r="AZ87" i="72" s="1"/>
  <c r="AV87" i="72" a="1"/>
  <c r="AV87" i="72" s="1"/>
  <c r="AX87" i="72" a="1"/>
  <c r="AX87" i="72" s="1"/>
  <c r="A1450" i="13"/>
  <c r="AX1351" i="13"/>
  <c r="BT103" i="4"/>
  <c r="Z1726" i="13" s="1"/>
  <c r="AG66" i="69" a="1"/>
  <c r="AG66" i="69" s="1"/>
  <c r="A1666" i="13"/>
  <c r="AX1666" i="13" s="1"/>
  <c r="AV1567" i="13"/>
  <c r="AV1666" i="13" s="1"/>
  <c r="AX1567" i="13"/>
  <c r="AU63" i="72" a="1"/>
  <c r="AU63" i="72" s="1"/>
  <c r="AF63" i="72" a="1"/>
  <c r="AF63" i="72" s="1"/>
  <c r="AZ63" i="72" a="1"/>
  <c r="AZ63" i="72" s="1"/>
  <c r="AL63" i="72" a="1"/>
  <c r="AL63" i="72" s="1"/>
  <c r="AV63" i="72" a="1"/>
  <c r="AV63" i="72" s="1"/>
  <c r="AO63" i="72" a="1"/>
  <c r="AO63" i="72" s="1"/>
  <c r="AQ63" i="72" a="1"/>
  <c r="AQ63" i="72" s="1"/>
  <c r="BA63" i="72" a="1"/>
  <c r="BA63" i="72" s="1"/>
  <c r="AG63" i="72" a="1"/>
  <c r="AG63" i="72" s="1"/>
  <c r="AX63" i="72" a="1"/>
  <c r="AX63" i="72" s="1"/>
  <c r="AG45" i="72" a="1"/>
  <c r="AG45" i="72" s="1"/>
  <c r="X90" i="4"/>
  <c r="K89" i="69" a="1"/>
  <c r="K89" i="69" s="1"/>
  <c r="AF75" i="72" a="1"/>
  <c r="AF75" i="72" s="1"/>
  <c r="BA75" i="72" a="1"/>
  <c r="BA75" i="72" s="1"/>
  <c r="AL75" i="72" a="1"/>
  <c r="AL75" i="72" s="1"/>
  <c r="AO75" i="72" a="1"/>
  <c r="AO75" i="72" s="1"/>
  <c r="AQ75" i="72" a="1"/>
  <c r="AQ75" i="72" s="1"/>
  <c r="AZ75" i="72" a="1"/>
  <c r="AZ75" i="72" s="1"/>
  <c r="AU75" i="72" a="1"/>
  <c r="AU75" i="72" s="1"/>
  <c r="AV75" i="72" a="1"/>
  <c r="AV75" i="72" s="1"/>
  <c r="AX75" i="72" a="1"/>
  <c r="AX75" i="72" s="1"/>
  <c r="S49" i="4"/>
  <c r="T49" i="4"/>
  <c r="Z1641" i="13"/>
  <c r="BN12" i="72" a="1"/>
  <c r="BN12" i="72" s="1"/>
  <c r="AV1514" i="13"/>
  <c r="AV1613" i="13" s="1"/>
  <c r="A1613" i="13"/>
  <c r="AX1613" i="13" s="1"/>
  <c r="AX1514" i="13"/>
  <c r="O49" i="69"/>
  <c r="BF49" i="69"/>
  <c r="O49" i="72"/>
  <c r="BK49" i="72"/>
  <c r="AD49" i="72"/>
  <c r="AD49" i="69"/>
  <c r="K57" i="69" a="1"/>
  <c r="K57" i="69" s="1"/>
  <c r="AX1522" i="13"/>
  <c r="A1621" i="13"/>
  <c r="AX1621" i="13" s="1"/>
  <c r="AV1522" i="13"/>
  <c r="AV1621" i="13" s="1"/>
  <c r="I164" i="15" a="1"/>
  <c r="I164" i="15" s="1"/>
  <c r="AR29" i="69" a="1"/>
  <c r="AR29" i="69" s="1"/>
  <c r="AG79" i="69" a="1"/>
  <c r="AG79" i="69" s="1"/>
  <c r="AG62" i="72" a="1"/>
  <c r="AG62" i="72" s="1"/>
  <c r="AQ47" i="69" a="1"/>
  <c r="AQ47" i="69" s="1"/>
  <c r="AQ6" i="69" a="1"/>
  <c r="AQ6" i="69" s="1"/>
  <c r="AI24" i="69" a="1"/>
  <c r="AI24" i="69" s="1"/>
  <c r="AR54" i="69" a="1"/>
  <c r="AR54" i="69" s="1"/>
  <c r="Z1646" i="13"/>
  <c r="T54" i="4"/>
  <c r="S54" i="4"/>
  <c r="Z1680" i="13"/>
  <c r="T88" i="4"/>
  <c r="S88" i="4"/>
  <c r="O93" i="69"/>
  <c r="BF93" i="69"/>
  <c r="BK93" i="72"/>
  <c r="O93" i="72"/>
  <c r="H195" i="15" a="1"/>
  <c r="H195" i="15" s="1"/>
  <c r="F195" i="15" a="1"/>
  <c r="F195" i="15" s="1"/>
  <c r="BF81" i="69"/>
  <c r="O81" i="69"/>
  <c r="BK81" i="72"/>
  <c r="O81" i="72"/>
  <c r="C6" i="72"/>
  <c r="D6" i="72" s="1" a="1"/>
  <c r="D6" i="72" s="1"/>
  <c r="C6" i="69"/>
  <c r="D6" i="69" s="1" a="1"/>
  <c r="D6" i="69" s="1"/>
  <c r="AV1521" i="13"/>
  <c r="AV1620" i="13" s="1"/>
  <c r="A1620" i="13"/>
  <c r="AX1620" i="13" s="1"/>
  <c r="AX1521" i="13"/>
  <c r="AX1500" i="13"/>
  <c r="AV1500" i="13"/>
  <c r="A1599" i="13"/>
  <c r="AX1599" i="13" s="1"/>
  <c r="BS60" i="72"/>
  <c r="AM60" i="72"/>
  <c r="A1656" i="13"/>
  <c r="AX1656" i="13" s="1"/>
  <c r="AV1557" i="13"/>
  <c r="AV1656" i="13" s="1"/>
  <c r="AX1557" i="13"/>
  <c r="Z1623" i="13"/>
  <c r="T31" i="4"/>
  <c r="S31" i="4"/>
  <c r="AQ63" i="69" a="1"/>
  <c r="AQ63" i="69" s="1"/>
  <c r="AX1555" i="13"/>
  <c r="AV1555" i="13"/>
  <c r="AV1654" i="13" s="1"/>
  <c r="A1654" i="13"/>
  <c r="AX1654" i="13" s="1"/>
  <c r="BF64" i="69"/>
  <c r="O64" i="72"/>
  <c r="BK64" i="72"/>
  <c r="O64" i="69"/>
  <c r="AV1574" i="13"/>
  <c r="AV1673" i="13" s="1"/>
  <c r="A1673" i="13"/>
  <c r="AX1673" i="13" s="1"/>
  <c r="AX1574" i="13"/>
  <c r="AX1529" i="13"/>
  <c r="AV1529" i="13"/>
  <c r="AV1628" i="13" s="1"/>
  <c r="A1628" i="13"/>
  <c r="AX1628" i="13" s="1"/>
  <c r="AV83" i="4" a="1"/>
  <c r="AV83" i="4" s="1"/>
  <c r="AU83" i="4"/>
  <c r="Y83" i="4"/>
  <c r="AT83" i="4" a="1"/>
  <c r="AT83" i="4" s="1"/>
  <c r="BQ83" i="4"/>
  <c r="CA83" i="4"/>
  <c r="BK89" i="72"/>
  <c r="AT82" i="72" a="1"/>
  <c r="AT82" i="72" s="1"/>
  <c r="BA82" i="72" a="1"/>
  <c r="BA82" i="72" s="1"/>
  <c r="AQ82" i="72" a="1"/>
  <c r="AQ82" i="72" s="1"/>
  <c r="AF82" i="72" a="1"/>
  <c r="AF82" i="72" s="1"/>
  <c r="AW82" i="72" a="1"/>
  <c r="AW82" i="72" s="1"/>
  <c r="AG82" i="72" a="1"/>
  <c r="AG82" i="72" s="1"/>
  <c r="AV82" i="72" a="1"/>
  <c r="AV82" i="72" s="1"/>
  <c r="AO82" i="72" a="1"/>
  <c r="AO82" i="72" s="1"/>
  <c r="AL82" i="72" a="1"/>
  <c r="AL82" i="72" s="1"/>
  <c r="AU82" i="72" a="1"/>
  <c r="AU82" i="72" s="1"/>
  <c r="AZ82" i="72" a="1"/>
  <c r="AZ82" i="72" s="1"/>
  <c r="AX82" i="72" a="1"/>
  <c r="AX82" i="72" s="1"/>
  <c r="AV1576" i="13"/>
  <c r="AV1675" i="13" s="1"/>
  <c r="AX1576" i="13"/>
  <c r="A1675" i="13"/>
  <c r="AX1675" i="13" s="1"/>
  <c r="A1618" i="13"/>
  <c r="AX1618" i="13" s="1"/>
  <c r="AX1519" i="13"/>
  <c r="AV1519" i="13"/>
  <c r="AV1618" i="13" s="1"/>
  <c r="AG39" i="72" a="1"/>
  <c r="AG39" i="72" s="1"/>
  <c r="AX1532" i="13"/>
  <c r="AV1532" i="13"/>
  <c r="AV1631" i="13" s="1"/>
  <c r="A1631" i="13"/>
  <c r="AX1631" i="13" s="1"/>
  <c r="I55" i="72"/>
  <c r="AU72" i="4"/>
  <c r="Y72" i="4"/>
  <c r="AV72" i="4" a="1"/>
  <c r="AV72" i="4" s="1"/>
  <c r="AT72" i="4" a="1"/>
  <c r="AT72" i="4" s="1"/>
  <c r="CA72" i="4"/>
  <c r="CY72" i="4"/>
  <c r="CZ72" i="4" s="1"/>
  <c r="BQ72" i="4"/>
  <c r="I200" i="15" a="1"/>
  <c r="I200" i="15" s="1"/>
  <c r="BQ23" i="72" a="1"/>
  <c r="BQ23" i="72" s="1"/>
  <c r="BI28" i="69" a="1"/>
  <c r="BI28" i="69" s="1"/>
  <c r="AG50" i="69" a="1"/>
  <c r="AG50" i="69" s="1"/>
  <c r="AT47" i="72" a="1"/>
  <c r="AT47" i="72" s="1"/>
  <c r="AW77" i="72" a="1"/>
  <c r="AW77" i="72" s="1"/>
  <c r="BQ23" i="69"/>
  <c r="AV1507" i="13"/>
  <c r="AV1606" i="13" s="1"/>
  <c r="AX1507" i="13"/>
  <c r="A1606" i="13"/>
  <c r="AX1606" i="13" s="1"/>
  <c r="Z1665" i="13"/>
  <c r="T73" i="4"/>
  <c r="S73" i="4"/>
  <c r="AT24" i="72" a="1"/>
  <c r="AT24" i="72" s="1"/>
  <c r="AP31" i="72" a="1"/>
  <c r="AP31" i="72" s="1"/>
  <c r="H166" i="15" a="1"/>
  <c r="H166" i="15" s="1"/>
  <c r="F166" i="15" a="1"/>
  <c r="F166" i="15" s="1"/>
  <c r="AV57" i="4" a="1"/>
  <c r="AV57" i="4" s="1"/>
  <c r="AT57" i="4" a="1"/>
  <c r="AT57" i="4" s="1"/>
  <c r="AU57" i="4"/>
  <c r="Y57" i="4"/>
  <c r="BQ57" i="4"/>
  <c r="CA57" i="4"/>
  <c r="AJ38" i="69" a="1"/>
  <c r="AJ38" i="69" s="1"/>
  <c r="BN35" i="72" a="1"/>
  <c r="BN35" i="72" s="1"/>
  <c r="T80" i="4"/>
  <c r="S80" i="4"/>
  <c r="Z1672" i="13"/>
  <c r="AU45" i="72" a="1"/>
  <c r="AU45" i="72" s="1"/>
  <c r="AQ45" i="72" a="1"/>
  <c r="AQ45" i="72" s="1"/>
  <c r="AO45" i="72" a="1"/>
  <c r="AO45" i="72" s="1"/>
  <c r="AF45" i="72" a="1"/>
  <c r="AF45" i="72" s="1"/>
  <c r="AZ45" i="72" a="1"/>
  <c r="AZ45" i="72" s="1"/>
  <c r="AL45" i="72" a="1"/>
  <c r="AL45" i="72" s="1"/>
  <c r="BA45" i="72" a="1"/>
  <c r="BA45" i="72" s="1"/>
  <c r="AV45" i="72" a="1"/>
  <c r="AV45" i="72" s="1"/>
  <c r="AX45" i="72" a="1"/>
  <c r="AX45" i="72" s="1"/>
  <c r="C18" i="69"/>
  <c r="D18" i="69" s="1" a="1"/>
  <c r="D18" i="69" s="1"/>
  <c r="C18" i="72"/>
  <c r="D18" i="72" s="1" a="1"/>
  <c r="D18" i="72" s="1"/>
  <c r="K75" i="72" a="1"/>
  <c r="K75" i="72" s="1"/>
  <c r="BK51" i="72"/>
  <c r="O51" i="69"/>
  <c r="AD51" i="72"/>
  <c r="BF51" i="69"/>
  <c r="O51" i="72"/>
  <c r="T27" i="4"/>
  <c r="S27" i="4"/>
  <c r="Z1619" i="13"/>
  <c r="G55" i="15"/>
  <c r="I55" i="15" a="1"/>
  <c r="I55" i="15" s="1"/>
  <c r="C38" i="72"/>
  <c r="D38" i="72" s="1" a="1"/>
  <c r="D38" i="72" s="1"/>
  <c r="C38" i="69"/>
  <c r="D38" i="69" s="1" a="1"/>
  <c r="D38" i="69" s="1"/>
  <c r="AV62" i="69" a="1"/>
  <c r="AV62" i="69" s="1"/>
  <c r="AP62" i="69" a="1"/>
  <c r="AP62" i="69" s="1"/>
  <c r="AJ62" i="69" a="1"/>
  <c r="AJ62" i="69" s="1"/>
  <c r="AF62" i="69" a="1"/>
  <c r="AF62" i="69" s="1"/>
  <c r="AR62" i="69" a="1"/>
  <c r="AR62" i="69" s="1"/>
  <c r="AG62" i="69" a="1"/>
  <c r="AG62" i="69" s="1"/>
  <c r="AL62" i="69" a="1"/>
  <c r="AL62" i="69" s="1"/>
  <c r="AU62" i="69" a="1"/>
  <c r="AU62" i="69" s="1"/>
  <c r="AH62" i="69" a="1"/>
  <c r="AH62" i="69" s="1"/>
  <c r="AS62" i="69" a="1"/>
  <c r="AS62" i="69" s="1"/>
  <c r="S35" i="4"/>
  <c r="Z1627" i="13"/>
  <c r="T35" i="4"/>
  <c r="AV53" i="69" a="1"/>
  <c r="AV53" i="69" s="1"/>
  <c r="AU53" i="69" a="1"/>
  <c r="AU53" i="69" s="1"/>
  <c r="AL53" i="69" a="1"/>
  <c r="AL53" i="69" s="1"/>
  <c r="AI53" i="69" a="1"/>
  <c r="AI53" i="69" s="1"/>
  <c r="AJ53" i="69" a="1"/>
  <c r="AJ53" i="69" s="1"/>
  <c r="AF53" i="69" a="1"/>
  <c r="AF53" i="69" s="1"/>
  <c r="AH53" i="69" a="1"/>
  <c r="AH53" i="69" s="1"/>
  <c r="AP53" i="69" a="1"/>
  <c r="AP53" i="69" s="1"/>
  <c r="AR53" i="69" a="1"/>
  <c r="AR53" i="69" s="1"/>
  <c r="AS53" i="69" a="1"/>
  <c r="AS53" i="69" s="1"/>
  <c r="AG17" i="69" a="1"/>
  <c r="AG17" i="69" s="1"/>
  <c r="AV54" i="72" a="1"/>
  <c r="AV54" i="72" s="1"/>
  <c r="AG17" i="72" a="1"/>
  <c r="AG17" i="72" s="1"/>
  <c r="AG31" i="69" a="1"/>
  <c r="AG31" i="69" s="1"/>
  <c r="AW85" i="72" a="1"/>
  <c r="AW85" i="72" s="1"/>
  <c r="AR48" i="69" a="1"/>
  <c r="AR48" i="69" s="1"/>
  <c r="AQ64" i="69" a="1"/>
  <c r="AQ64" i="69" s="1"/>
  <c r="AG47" i="69" a="1"/>
  <c r="AG47" i="69" s="1"/>
  <c r="AG84" i="69" a="1"/>
  <c r="AG84" i="69" s="1"/>
  <c r="AV1559" i="13"/>
  <c r="AV1658" i="13" s="1"/>
  <c r="AX1559" i="13"/>
  <c r="A1658" i="13"/>
  <c r="AX1658" i="13" s="1"/>
  <c r="Z1678" i="13"/>
  <c r="T86" i="4"/>
  <c r="S86" i="4"/>
  <c r="Z1559" i="13"/>
  <c r="AV1455" i="13"/>
  <c r="AX1455" i="13"/>
  <c r="A1554" i="13"/>
  <c r="F55" i="72"/>
  <c r="AP73" i="69" a="1"/>
  <c r="AP73" i="69" s="1"/>
  <c r="AU73" i="69" a="1"/>
  <c r="AU73" i="69" s="1"/>
  <c r="AH73" i="69" a="1"/>
  <c r="AH73" i="69" s="1"/>
  <c r="AJ73" i="69" a="1"/>
  <c r="AJ73" i="69" s="1"/>
  <c r="AV73" i="69" a="1"/>
  <c r="AV73" i="69" s="1"/>
  <c r="AF73" i="69" a="1"/>
  <c r="AF73" i="69" s="1"/>
  <c r="AL73" i="69" a="1"/>
  <c r="AL73" i="69" s="1"/>
  <c r="AR73" i="69" a="1"/>
  <c r="AR73" i="69" s="1"/>
  <c r="AG73" i="69" a="1"/>
  <c r="AG73" i="69" s="1"/>
  <c r="AS73" i="69" a="1"/>
  <c r="AS73" i="69" s="1"/>
  <c r="AL93" i="72" a="1"/>
  <c r="AL93" i="72" s="1"/>
  <c r="AZ93" i="72" a="1"/>
  <c r="AZ93" i="72" s="1"/>
  <c r="AO93" i="72" a="1"/>
  <c r="AO93" i="72" s="1"/>
  <c r="BA93" i="72" a="1"/>
  <c r="BA93" i="72" s="1"/>
  <c r="AU93" i="72" a="1"/>
  <c r="AU93" i="72" s="1"/>
  <c r="AF93" i="72" a="1"/>
  <c r="AF93" i="72" s="1"/>
  <c r="AQ93" i="72" a="1"/>
  <c r="AQ93" i="72" s="1"/>
  <c r="AW93" i="72" a="1"/>
  <c r="AW93" i="72" s="1"/>
  <c r="AX93" i="72" a="1"/>
  <c r="AX93" i="72" s="1"/>
  <c r="AZ26" i="72" a="1"/>
  <c r="AZ26" i="72" s="1"/>
  <c r="AV26" i="72" a="1"/>
  <c r="AV26" i="72" s="1"/>
  <c r="AO26" i="72" a="1"/>
  <c r="AO26" i="72" s="1"/>
  <c r="BA26" i="72" a="1"/>
  <c r="BA26" i="72" s="1"/>
  <c r="AQ26" i="72" a="1"/>
  <c r="AQ26" i="72" s="1"/>
  <c r="AU26" i="72" a="1"/>
  <c r="AU26" i="72" s="1"/>
  <c r="AF26" i="72" a="1"/>
  <c r="AF26" i="72" s="1"/>
  <c r="AW26" i="72" a="1"/>
  <c r="AW26" i="72" s="1"/>
  <c r="AL26" i="72" a="1"/>
  <c r="AL26" i="72" s="1"/>
  <c r="AG26" i="72" a="1"/>
  <c r="AG26" i="72" s="1"/>
  <c r="AX26" i="72" a="1"/>
  <c r="AX26" i="72" s="1"/>
  <c r="AD56" i="72"/>
  <c r="O56" i="72"/>
  <c r="BK56" i="72"/>
  <c r="O56" i="69"/>
  <c r="BF56" i="69"/>
  <c r="A1614" i="13"/>
  <c r="AX1614" i="13" s="1"/>
  <c r="AV1515" i="13"/>
  <c r="AV1614" i="13" s="1"/>
  <c r="AX1515" i="13"/>
  <c r="AV1471" i="13"/>
  <c r="AT89" i="4" a="1"/>
  <c r="AT89" i="4" s="1"/>
  <c r="Y89" i="4"/>
  <c r="AU89" i="4"/>
  <c r="AV89" i="4" a="1"/>
  <c r="AV89" i="4" s="1"/>
  <c r="CY89" i="4"/>
  <c r="CZ89" i="4" s="1"/>
  <c r="P91" i="9" s="1"/>
  <c r="BQ89" i="4"/>
  <c r="CA89" i="4"/>
  <c r="K69" i="69" a="1"/>
  <c r="K69" i="69" s="1"/>
  <c r="AX1518" i="13"/>
  <c r="AV1518" i="13"/>
  <c r="AV1617" i="13" s="1"/>
  <c r="A1617" i="13"/>
  <c r="AX1617" i="13" s="1"/>
  <c r="S68" i="4"/>
  <c r="T68" i="4"/>
  <c r="Z1660" i="13"/>
  <c r="AU59" i="69" a="1"/>
  <c r="AU59" i="69" s="1"/>
  <c r="AV59" i="69" a="1"/>
  <c r="AV59" i="69" s="1"/>
  <c r="AJ59" i="69" a="1"/>
  <c r="AJ59" i="69" s="1"/>
  <c r="AG59" i="69" a="1"/>
  <c r="AG59" i="69" s="1"/>
  <c r="AP59" i="69" a="1"/>
  <c r="AP59" i="69" s="1"/>
  <c r="AL59" i="69" a="1"/>
  <c r="AL59" i="69" s="1"/>
  <c r="AH59" i="69" a="1"/>
  <c r="AH59" i="69" s="1"/>
  <c r="AF59" i="69" a="1"/>
  <c r="AF59" i="69" s="1"/>
  <c r="AI59" i="69" a="1"/>
  <c r="AI59" i="69" s="1"/>
  <c r="AQ59" i="69" a="1"/>
  <c r="AQ59" i="69" s="1"/>
  <c r="AS59" i="69" a="1"/>
  <c r="AS59" i="69" s="1"/>
  <c r="Z1634" i="13"/>
  <c r="S42" i="4"/>
  <c r="T42" i="4"/>
  <c r="AQ40" i="69" a="1"/>
  <c r="AQ40" i="69" s="1"/>
  <c r="BR83" i="4"/>
  <c r="T89" i="4"/>
  <c r="S89" i="4"/>
  <c r="Z1681" i="13"/>
  <c r="AW67" i="72" a="1"/>
  <c r="AW67" i="72" s="1"/>
  <c r="E3" i="1"/>
  <c r="E101" i="1" s="1"/>
  <c r="F97" i="1"/>
  <c r="AQ90" i="4"/>
  <c r="AR90" i="4"/>
  <c r="I55" i="69"/>
  <c r="X72" i="4"/>
  <c r="AV1463" i="13"/>
  <c r="AT67" i="72" a="1"/>
  <c r="AT67" i="72" s="1"/>
  <c r="AV44" i="69" a="1"/>
  <c r="AV44" i="69" s="1"/>
  <c r="AP44" i="69" a="1"/>
  <c r="AP44" i="69" s="1"/>
  <c r="AF44" i="69" a="1"/>
  <c r="AF44" i="69" s="1"/>
  <c r="AH44" i="69" a="1"/>
  <c r="AH44" i="69" s="1"/>
  <c r="AI44" i="69" a="1"/>
  <c r="AI44" i="69" s="1"/>
  <c r="AL44" i="69" a="1"/>
  <c r="AL44" i="69" s="1"/>
  <c r="AU44" i="69" a="1"/>
  <c r="AU44" i="69" s="1"/>
  <c r="AR44" i="69" a="1"/>
  <c r="AR44" i="69" s="1"/>
  <c r="AS44" i="69" a="1"/>
  <c r="AS44" i="69" s="1"/>
  <c r="BI59" i="69" a="1"/>
  <c r="BI59" i="69" s="1"/>
  <c r="H20" i="69"/>
  <c r="H20" i="72"/>
  <c r="AE23" i="72" a="1"/>
  <c r="AE23" i="72" s="1"/>
  <c r="Z1655" i="13"/>
  <c r="S63" i="4"/>
  <c r="T63" i="4"/>
  <c r="S21" i="4"/>
  <c r="Z1613" i="13"/>
  <c r="T21" i="4"/>
  <c r="Z1628" i="13"/>
  <c r="S36" i="4"/>
  <c r="T36" i="4"/>
  <c r="AO28" i="69" a="1"/>
  <c r="AO28" i="69" s="1"/>
  <c r="O84" i="72"/>
  <c r="O84" i="69"/>
  <c r="BF84" i="69"/>
  <c r="BK84" i="72"/>
  <c r="Z1629" i="13"/>
  <c r="S37" i="4"/>
  <c r="T37" i="4"/>
  <c r="C50" i="69"/>
  <c r="D50" i="69" s="1" a="1"/>
  <c r="D50" i="69" s="1"/>
  <c r="C50" i="72"/>
  <c r="D50" i="72" s="1" a="1"/>
  <c r="D50" i="72" s="1"/>
  <c r="BB1770" i="13"/>
  <c r="K72" i="72" a="1"/>
  <c r="K72" i="72" s="1"/>
  <c r="AT59" i="72" a="1"/>
  <c r="AT59" i="72" s="1"/>
  <c r="AO59" i="72" a="1"/>
  <c r="AO59" i="72" s="1"/>
  <c r="AG59" i="72" a="1"/>
  <c r="AG59" i="72" s="1"/>
  <c r="AV59" i="72" a="1"/>
  <c r="AV59" i="72" s="1"/>
  <c r="AU59" i="72" a="1"/>
  <c r="AU59" i="72" s="1"/>
  <c r="AZ59" i="72" a="1"/>
  <c r="AZ59" i="72" s="1"/>
  <c r="AW59" i="72" a="1"/>
  <c r="AW59" i="72" s="1"/>
  <c r="BA59" i="72" a="1"/>
  <c r="BA59" i="72" s="1"/>
  <c r="AQ59" i="72" a="1"/>
  <c r="AQ59" i="72" s="1"/>
  <c r="AF59" i="72" a="1"/>
  <c r="AF59" i="72" s="1"/>
  <c r="AL59" i="72" a="1"/>
  <c r="AL59" i="72" s="1"/>
  <c r="AX59" i="72" a="1"/>
  <c r="AX59" i="72" s="1"/>
  <c r="AQ86" i="72" a="1"/>
  <c r="AQ86" i="72" s="1"/>
  <c r="BA86" i="72" a="1"/>
  <c r="BA86" i="72" s="1"/>
  <c r="AW86" i="72" a="1"/>
  <c r="AW86" i="72" s="1"/>
  <c r="AZ86" i="72" a="1"/>
  <c r="AZ86" i="72" s="1"/>
  <c r="AU86" i="72" a="1"/>
  <c r="AU86" i="72" s="1"/>
  <c r="AL86" i="72" a="1"/>
  <c r="AL86" i="72" s="1"/>
  <c r="AG86" i="72" a="1"/>
  <c r="AG86" i="72" s="1"/>
  <c r="AX86" i="72" a="1"/>
  <c r="AX86" i="72" s="1"/>
  <c r="BR57" i="4"/>
  <c r="AD57" i="69" s="1"/>
  <c r="AV1482" i="13"/>
  <c r="BN47" i="72" a="1"/>
  <c r="BN47" i="72" s="1"/>
  <c r="H51" i="69"/>
  <c r="H51" i="72"/>
  <c r="BT104" i="4"/>
  <c r="Z1747" i="13" s="1"/>
  <c r="H19" i="72"/>
  <c r="H19" i="69"/>
  <c r="AQ56" i="69" a="1"/>
  <c r="AQ56" i="69" s="1"/>
  <c r="H18" i="69"/>
  <c r="H18" i="72"/>
  <c r="Y59" i="4"/>
  <c r="AT59" i="4" a="1"/>
  <c r="AT59" i="4" s="1"/>
  <c r="AV59" i="4" a="1"/>
  <c r="AV59" i="4" s="1"/>
  <c r="AU59" i="4"/>
  <c r="CY59" i="4"/>
  <c r="CZ59" i="4" s="1"/>
  <c r="BQ59" i="4"/>
  <c r="CA59" i="4"/>
  <c r="K89" i="72" a="1"/>
  <c r="K89" i="72" s="1"/>
  <c r="AX1536" i="13"/>
  <c r="A1635" i="13"/>
  <c r="AX1635" i="13" s="1"/>
  <c r="AV1536" i="13"/>
  <c r="AV1635" i="13" s="1"/>
  <c r="AO49" i="69" a="1"/>
  <c r="AO49" i="69" s="1"/>
  <c r="AV17" i="72" a="1"/>
  <c r="AV17" i="72" s="1"/>
  <c r="AG41" i="69" a="1"/>
  <c r="AG41" i="69" s="1"/>
  <c r="AG89" i="69" a="1"/>
  <c r="AG89" i="69" s="1"/>
  <c r="AR5" i="69" a="1"/>
  <c r="AR5" i="69" s="1"/>
  <c r="AI48" i="69" a="1"/>
  <c r="AI48" i="69" s="1"/>
  <c r="AR86" i="69" a="1"/>
  <c r="AR86" i="69" s="1"/>
  <c r="AG52" i="69" a="1"/>
  <c r="AG52" i="69" s="1"/>
  <c r="AQ85" i="69" a="1"/>
  <c r="AQ85" i="69" s="1"/>
  <c r="AG76" i="72" a="1"/>
  <c r="AG76" i="72" s="1"/>
  <c r="Z1664" i="13"/>
  <c r="T72" i="4"/>
  <c r="S72" i="4"/>
  <c r="AK88" i="72"/>
  <c r="BM67" i="4"/>
  <c r="BE67" i="4" s="1" a="1"/>
  <c r="BE67" i="4" s="1"/>
  <c r="BD67" i="69"/>
  <c r="AD67" i="69"/>
  <c r="BI67" i="72"/>
  <c r="AD67" i="72"/>
  <c r="AQ78" i="4"/>
  <c r="AR78" i="4"/>
  <c r="A1640" i="13"/>
  <c r="AX1640" i="13" s="1"/>
  <c r="AV1541" i="13"/>
  <c r="AV1640" i="13" s="1"/>
  <c r="AX1541" i="13"/>
  <c r="AV1533" i="13"/>
  <c r="AV1632" i="13" s="1"/>
  <c r="A1632" i="13"/>
  <c r="AX1632" i="13" s="1"/>
  <c r="AX1533" i="13"/>
  <c r="BE1770" i="13"/>
  <c r="K69" i="72" a="1"/>
  <c r="K69" i="72" s="1"/>
  <c r="S55" i="4"/>
  <c r="T55" i="4"/>
  <c r="Z1647" i="13"/>
  <c r="I62" i="15" a="1"/>
  <c r="I62" i="15" s="1"/>
  <c r="G62" i="15"/>
  <c r="CA67" i="4"/>
  <c r="AT67" i="4" a="1"/>
  <c r="AT67" i="4" s="1"/>
  <c r="AU67" i="4"/>
  <c r="AV67" i="4" a="1"/>
  <c r="AV67" i="4" s="1"/>
  <c r="Y67" i="4"/>
  <c r="BQ67" i="4"/>
  <c r="CY67" i="4"/>
  <c r="CZ67" i="4" s="1"/>
  <c r="AH50" i="69" a="1"/>
  <c r="AH50" i="69" s="1"/>
  <c r="AI50" i="69" a="1"/>
  <c r="AI50" i="69" s="1"/>
  <c r="AP50" i="69" a="1"/>
  <c r="AP50" i="69" s="1"/>
  <c r="AU50" i="69" a="1"/>
  <c r="AU50" i="69" s="1"/>
  <c r="AL50" i="69" a="1"/>
  <c r="AL50" i="69" s="1"/>
  <c r="AF50" i="69" a="1"/>
  <c r="AF50" i="69" s="1"/>
  <c r="AJ50" i="69" a="1"/>
  <c r="AJ50" i="69" s="1"/>
  <c r="AR50" i="69" a="1"/>
  <c r="AR50" i="69" s="1"/>
  <c r="AV50" i="69" a="1"/>
  <c r="AV50" i="69" s="1"/>
  <c r="AS50" i="69" a="1"/>
  <c r="AS50" i="69" s="1"/>
  <c r="K91" i="69" a="1"/>
  <c r="K91" i="69" s="1"/>
  <c r="AX1546" i="13"/>
  <c r="A1645" i="13"/>
  <c r="AX1645" i="13" s="1"/>
  <c r="AV1546" i="13"/>
  <c r="AV1645" i="13" s="1"/>
  <c r="BP60" i="72"/>
  <c r="BO60" i="72" s="1"/>
  <c r="BR60" i="72" s="1"/>
  <c r="H60" i="72"/>
  <c r="S44" i="4"/>
  <c r="T44" i="4"/>
  <c r="Z1636" i="13"/>
  <c r="AG61" i="69" a="1"/>
  <c r="AG61" i="69" s="1"/>
  <c r="AG25" i="72" a="1"/>
  <c r="AG25" i="72" s="1"/>
  <c r="A1636" i="13"/>
  <c r="AX1636" i="13" s="1"/>
  <c r="AX1537" i="13"/>
  <c r="AV1537" i="13"/>
  <c r="AV1636" i="13" s="1"/>
  <c r="L60" i="69"/>
  <c r="T18" i="4"/>
  <c r="Z1610" i="13"/>
  <c r="S18" i="4"/>
  <c r="BM64" i="4"/>
  <c r="BE64" i="4" s="1" a="1"/>
  <c r="BE64" i="4" s="1"/>
  <c r="AD64" i="69"/>
  <c r="BD64" i="69"/>
  <c r="AD64" i="72"/>
  <c r="BI64" i="72"/>
  <c r="AR62" i="4"/>
  <c r="AQ62" i="4"/>
  <c r="AI35" i="69" a="1"/>
  <c r="AI35" i="69" s="1"/>
  <c r="AT86" i="4" a="1"/>
  <c r="AT86" i="4" s="1"/>
  <c r="AU86" i="4"/>
  <c r="AV86" i="4" a="1"/>
  <c r="AV86" i="4" s="1"/>
  <c r="Y86" i="4"/>
  <c r="CY86" i="4"/>
  <c r="CZ86" i="4" s="1"/>
  <c r="BQ86" i="4"/>
  <c r="CA86" i="4"/>
  <c r="T45" i="4"/>
  <c r="Z1637" i="13"/>
  <c r="S45" i="4"/>
  <c r="AV49" i="72" a="1"/>
  <c r="AV49" i="72" s="1"/>
  <c r="Z1667" i="13"/>
  <c r="T75" i="4"/>
  <c r="S75" i="4"/>
  <c r="AD12" i="72"/>
  <c r="O12" i="72"/>
  <c r="BK12" i="72"/>
  <c r="BF12" i="69"/>
  <c r="O12" i="69"/>
  <c r="C20" i="72"/>
  <c r="D20" i="72" s="1" a="1"/>
  <c r="D20" i="72" s="1"/>
  <c r="C20" i="69"/>
  <c r="D20" i="69" s="1" a="1"/>
  <c r="D20" i="69" s="1"/>
  <c r="S41" i="4"/>
  <c r="T41" i="4"/>
  <c r="Z1633" i="13"/>
  <c r="BH23" i="72"/>
  <c r="AP48" i="72" a="1"/>
  <c r="AP48" i="72" s="1"/>
  <c r="BN11" i="72" a="1"/>
  <c r="BN11" i="72" s="1"/>
  <c r="AL11" i="72" a="1"/>
  <c r="AL11" i="72" s="1"/>
  <c r="BA11" i="72" a="1"/>
  <c r="BA11" i="72" s="1"/>
  <c r="AQ11" i="72" a="1"/>
  <c r="AQ11" i="72" s="1"/>
  <c r="AO11" i="72" a="1"/>
  <c r="AO11" i="72" s="1"/>
  <c r="AU11" i="72" a="1"/>
  <c r="AU11" i="72" s="1"/>
  <c r="AZ11" i="72" a="1"/>
  <c r="AZ11" i="72" s="1"/>
  <c r="AV11" i="72" a="1"/>
  <c r="AV11" i="72" s="1"/>
  <c r="AF11" i="72" a="1"/>
  <c r="AF11" i="72" s="1"/>
  <c r="AW11" i="72" a="1"/>
  <c r="AW11" i="72" s="1"/>
  <c r="AG11" i="72" a="1"/>
  <c r="AG11" i="72" s="1"/>
  <c r="AX11" i="72" a="1"/>
  <c r="AX11" i="72" s="1"/>
  <c r="AT43" i="72" a="1"/>
  <c r="AT43" i="72" s="1"/>
  <c r="K78" i="69" a="1"/>
  <c r="K78" i="69" s="1"/>
  <c r="A1623" i="13"/>
  <c r="AX1623" i="13" s="1"/>
  <c r="AV1524" i="13"/>
  <c r="AV1623" i="13" s="1"/>
  <c r="AX1524" i="13"/>
  <c r="E23" i="69"/>
  <c r="H50" i="69"/>
  <c r="H50" i="72"/>
  <c r="T71" i="4"/>
  <c r="S71" i="4"/>
  <c r="Z1663" i="13"/>
  <c r="I223" i="15" a="1"/>
  <c r="I223" i="15" s="1"/>
  <c r="AD82" i="69"/>
  <c r="G131" i="15"/>
  <c r="I131" i="15" a="1"/>
  <c r="I131" i="15" s="1"/>
  <c r="AV1564" i="13"/>
  <c r="AV1663" i="13" s="1"/>
  <c r="A1663" i="13"/>
  <c r="AX1663" i="13" s="1"/>
  <c r="AX1564" i="13"/>
  <c r="C51" i="72"/>
  <c r="D51" i="72" s="1" a="1"/>
  <c r="D51" i="72" s="1"/>
  <c r="C51" i="69"/>
  <c r="D51" i="69" s="1" a="1"/>
  <c r="D51" i="69" s="1"/>
  <c r="BE5" i="4" a="1"/>
  <c r="BE5" i="4" s="1"/>
  <c r="AJ56" i="69" a="1"/>
  <c r="AJ56" i="69" s="1"/>
  <c r="S53" i="4"/>
  <c r="Z1645" i="13"/>
  <c r="T53" i="4"/>
  <c r="X59" i="4"/>
  <c r="K76" i="72" a="1"/>
  <c r="K76" i="72" s="1"/>
  <c r="O43" i="72"/>
  <c r="BK43" i="72"/>
  <c r="O43" i="69"/>
  <c r="BF43" i="69"/>
  <c r="AD43" i="72"/>
  <c r="T93" i="4"/>
  <c r="Z1685" i="13"/>
  <c r="S93" i="4"/>
  <c r="AU43" i="69" a="1"/>
  <c r="AU43" i="69" s="1"/>
  <c r="AF43" i="69" a="1"/>
  <c r="AF43" i="69" s="1"/>
  <c r="AL43" i="69" a="1"/>
  <c r="AL43" i="69" s="1"/>
  <c r="AV43" i="69" a="1"/>
  <c r="AV43" i="69" s="1"/>
  <c r="AJ43" i="69" a="1"/>
  <c r="AJ43" i="69" s="1"/>
  <c r="AH43" i="69" a="1"/>
  <c r="AH43" i="69" s="1"/>
  <c r="AP43" i="69" a="1"/>
  <c r="AP43" i="69" s="1"/>
  <c r="AI43" i="69" a="1"/>
  <c r="AI43" i="69" s="1"/>
  <c r="AQ43" i="69" a="1"/>
  <c r="AQ43" i="69" s="1"/>
  <c r="AS43" i="69" a="1"/>
  <c r="AS43" i="69" s="1"/>
  <c r="H38" i="72"/>
  <c r="H38" i="69"/>
  <c r="BM81" i="4"/>
  <c r="BE81" i="4" s="1" a="1"/>
  <c r="BE81" i="4" s="1"/>
  <c r="BD81" i="69"/>
  <c r="AD81" i="69"/>
  <c r="BI81" i="72"/>
  <c r="AD81" i="72"/>
  <c r="AT46" i="72" a="1"/>
  <c r="AT46" i="72" s="1"/>
  <c r="BM57" i="4"/>
  <c r="BE57" i="4" s="1" a="1"/>
  <c r="BE57" i="4" s="1"/>
  <c r="BI57" i="72"/>
  <c r="BD57" i="69"/>
  <c r="AG54" i="72" a="1"/>
  <c r="AG54" i="72" s="1"/>
  <c r="AG40" i="72" a="1"/>
  <c r="AG40" i="72" s="1"/>
  <c r="AG53" i="72" a="1"/>
  <c r="AG53" i="72" s="1"/>
  <c r="AG5" i="72" a="1"/>
  <c r="AG5" i="72" s="1"/>
  <c r="AI5" i="69" a="1"/>
  <c r="AI5" i="69" s="1"/>
  <c r="AR52" i="69" a="1"/>
  <c r="AR52" i="69" s="1"/>
  <c r="AI64" i="69" a="1"/>
  <c r="AI64" i="69" s="1"/>
  <c r="AI85" i="69" a="1"/>
  <c r="AI85" i="69" s="1"/>
  <c r="AW76" i="72" a="1"/>
  <c r="AW76" i="72" s="1"/>
  <c r="AG8" i="72" a="1"/>
  <c r="AG8" i="72" s="1"/>
  <c r="BF55" i="4"/>
  <c r="BF97" i="4" s="1"/>
  <c r="D15" i="27"/>
  <c r="B12" i="27"/>
  <c r="C16" i="27"/>
  <c r="T12" i="4"/>
  <c r="T10" i="4"/>
  <c r="Z1604" i="13"/>
  <c r="S10" i="4"/>
  <c r="S12" i="4"/>
  <c r="S33" i="4"/>
  <c r="T33" i="4"/>
  <c r="Z1625" i="13"/>
  <c r="K84" i="72" a="1"/>
  <c r="K84" i="72" s="1"/>
  <c r="AO49" i="72" a="1"/>
  <c r="AO49" i="72" s="1"/>
  <c r="AL49" i="72" a="1"/>
  <c r="AL49" i="72" s="1"/>
  <c r="AU49" i="72" a="1"/>
  <c r="AU49" i="72" s="1"/>
  <c r="AZ49" i="72" a="1"/>
  <c r="AZ49" i="72" s="1"/>
  <c r="AQ49" i="72" a="1"/>
  <c r="AQ49" i="72" s="1"/>
  <c r="AF49" i="72" a="1"/>
  <c r="AF49" i="72" s="1"/>
  <c r="BA49" i="72" a="1"/>
  <c r="BA49" i="72" s="1"/>
  <c r="AG49" i="72" a="1"/>
  <c r="AG49" i="72" s="1"/>
  <c r="AW49" i="72" a="1"/>
  <c r="AW49" i="72" s="1"/>
  <c r="AX49" i="72" a="1"/>
  <c r="AX49" i="72" s="1"/>
  <c r="A1641" i="13"/>
  <c r="AX1641" i="13" s="1"/>
  <c r="AX1542" i="13"/>
  <c r="AV1542" i="13"/>
  <c r="AV1641" i="13" s="1"/>
  <c r="BK78" i="72"/>
  <c r="O78" i="72"/>
  <c r="O78" i="69"/>
  <c r="BF78" i="69"/>
  <c r="S28" i="4"/>
  <c r="Z1620" i="13"/>
  <c r="T28" i="4"/>
  <c r="K67" i="72" a="1"/>
  <c r="K67" i="72" s="1"/>
  <c r="K64" i="72" a="1"/>
  <c r="K64" i="72" s="1"/>
  <c r="AP18" i="72" a="1"/>
  <c r="AP18" i="72" s="1"/>
  <c r="AL18" i="72" a="1"/>
  <c r="AL18" i="72" s="1"/>
  <c r="BA18" i="72" a="1"/>
  <c r="BA18" i="72" s="1"/>
  <c r="AU18" i="72" a="1"/>
  <c r="AU18" i="72" s="1"/>
  <c r="AG18" i="72" a="1"/>
  <c r="AG18" i="72" s="1"/>
  <c r="AW18" i="72" a="1"/>
  <c r="AW18" i="72" s="1"/>
  <c r="AF18" i="72" a="1"/>
  <c r="AF18" i="72" s="1"/>
  <c r="AV18" i="72" a="1"/>
  <c r="AV18" i="72" s="1"/>
  <c r="AQ18" i="72" a="1"/>
  <c r="AQ18" i="72" s="1"/>
  <c r="AZ18" i="72" a="1"/>
  <c r="AZ18" i="72" s="1"/>
  <c r="AO18" i="72" a="1"/>
  <c r="AO18" i="72" s="1"/>
  <c r="AX18" i="72" a="1"/>
  <c r="AX18" i="72" s="1"/>
  <c r="BF67" i="69"/>
  <c r="O67" i="69"/>
  <c r="O67" i="72"/>
  <c r="BK67" i="72"/>
  <c r="A1669" i="13"/>
  <c r="AX1669" i="13" s="1"/>
  <c r="AX1570" i="13"/>
  <c r="AV1570" i="13"/>
  <c r="AV1669" i="13" s="1"/>
  <c r="AG72" i="72" a="1"/>
  <c r="AG72" i="72" s="1"/>
  <c r="AD65" i="72"/>
  <c r="BK65" i="72"/>
  <c r="O65" i="69"/>
  <c r="O65" i="72"/>
  <c r="BF65" i="69"/>
  <c r="K61" i="69" a="1"/>
  <c r="K61" i="69" s="1"/>
  <c r="C46" i="72"/>
  <c r="D46" i="72" s="1" a="1"/>
  <c r="D46" i="72" s="1"/>
  <c r="C46" i="69"/>
  <c r="D46" i="69" s="1" a="1"/>
  <c r="D46" i="69" s="1"/>
  <c r="AG57" i="69" a="1"/>
  <c r="AG57" i="69" s="1"/>
  <c r="BD55" i="4"/>
  <c r="BT55" i="4"/>
  <c r="BT97" i="4" s="1"/>
  <c r="E97" i="4"/>
  <c r="BB105" i="4" s="1"/>
  <c r="C1754" i="13" s="1"/>
  <c r="S50" i="4"/>
  <c r="Z1642" i="13"/>
  <c r="T50" i="4"/>
  <c r="AU66" i="4"/>
  <c r="AV66" i="4" a="1"/>
  <c r="AV66" i="4" s="1"/>
  <c r="Y66" i="4"/>
  <c r="AT66" i="4" a="1"/>
  <c r="AT66" i="4" s="1"/>
  <c r="CY66" i="4"/>
  <c r="CZ66" i="4" s="1"/>
  <c r="BQ66" i="4"/>
  <c r="CA66" i="4"/>
  <c r="BN90" i="72" a="1"/>
  <c r="BN90" i="72" s="1"/>
  <c r="S87" i="4"/>
  <c r="T87" i="4"/>
  <c r="Z1679" i="13"/>
  <c r="O86" i="69"/>
  <c r="BF86" i="69"/>
  <c r="BK86" i="72"/>
  <c r="O86" i="72"/>
  <c r="K88" i="72" a="1"/>
  <c r="K88" i="72" s="1"/>
  <c r="Z1630" i="13"/>
  <c r="T38" i="4"/>
  <c r="S38" i="4"/>
  <c r="A1600" i="13"/>
  <c r="AX1600" i="13" s="1"/>
  <c r="AX1501" i="13"/>
  <c r="AV1501" i="13"/>
  <c r="BM88" i="4"/>
  <c r="BE88" i="4" s="1" a="1"/>
  <c r="BE88" i="4" s="1"/>
  <c r="AD88" i="69"/>
  <c r="AD88" i="72"/>
  <c r="BD88" i="69"/>
  <c r="BI88" i="72"/>
  <c r="Y74" i="4"/>
  <c r="AU74" i="4"/>
  <c r="AV74" i="4" a="1"/>
  <c r="AV74" i="4" s="1"/>
  <c r="AT74" i="4" a="1"/>
  <c r="AT74" i="4" s="1"/>
  <c r="BQ74" i="4"/>
  <c r="CA74" i="4"/>
  <c r="AI80" i="69" a="1"/>
  <c r="AI80" i="69" s="1"/>
  <c r="AX1562" i="13"/>
  <c r="A1661" i="13"/>
  <c r="AX1661" i="13" s="1"/>
  <c r="AV1562" i="13"/>
  <c r="AV1661" i="13" s="1"/>
  <c r="BI36" i="69" a="1"/>
  <c r="BI36" i="69" s="1"/>
  <c r="AQ36" i="69" a="1"/>
  <c r="AQ36" i="69" s="1"/>
  <c r="AJ36" i="69" a="1"/>
  <c r="AJ36" i="69" s="1"/>
  <c r="AR36" i="69" a="1"/>
  <c r="AR36" i="69" s="1"/>
  <c r="AL36" i="69" a="1"/>
  <c r="AL36" i="69" s="1"/>
  <c r="AF36" i="69" a="1"/>
  <c r="AF36" i="69" s="1"/>
  <c r="AH36" i="69" a="1"/>
  <c r="AH36" i="69" s="1"/>
  <c r="AP36" i="69" a="1"/>
  <c r="AP36" i="69" s="1"/>
  <c r="AI36" i="69" a="1"/>
  <c r="AI36" i="69" s="1"/>
  <c r="AV36" i="69" a="1"/>
  <c r="AV36" i="69" s="1"/>
  <c r="AU36" i="69" a="1"/>
  <c r="AU36" i="69" s="1"/>
  <c r="AG36" i="69" a="1"/>
  <c r="AG36" i="69" s="1"/>
  <c r="AS36" i="69" a="1"/>
  <c r="AS36" i="69" s="1"/>
  <c r="I210" i="15" a="1"/>
  <c r="I210" i="15" s="1"/>
  <c r="AP72" i="72" a="1"/>
  <c r="AP72" i="72" s="1"/>
  <c r="BM56" i="4"/>
  <c r="BE56" i="4" s="1" a="1"/>
  <c r="BE56" i="4" s="1"/>
  <c r="BI56" i="72"/>
  <c r="BD56" i="69"/>
  <c r="AD56" i="69"/>
  <c r="K91" i="72" a="1"/>
  <c r="K91" i="72" s="1"/>
  <c r="A1627" i="13"/>
  <c r="AX1627" i="13" s="1"/>
  <c r="AX1528" i="13"/>
  <c r="AV1528" i="13"/>
  <c r="AV1627" i="13" s="1"/>
  <c r="A1665" i="13"/>
  <c r="AX1665" i="13" s="1"/>
  <c r="AX1566" i="13"/>
  <c r="AV1566" i="13"/>
  <c r="AV1665" i="13" s="1"/>
  <c r="E23" i="72"/>
  <c r="BN48" i="72" a="1"/>
  <c r="BN48" i="72" s="1"/>
  <c r="AP16" i="69" a="1"/>
  <c r="AP16" i="69" s="1"/>
  <c r="AF16" i="69" a="1"/>
  <c r="AF16" i="69" s="1"/>
  <c r="AV16" i="69" a="1"/>
  <c r="AV16" i="69" s="1"/>
  <c r="AH16" i="69" a="1"/>
  <c r="AH16" i="69" s="1"/>
  <c r="AU16" i="69" a="1"/>
  <c r="AU16" i="69" s="1"/>
  <c r="AL16" i="69" a="1"/>
  <c r="AL16" i="69" s="1"/>
  <c r="AG16" i="69" a="1"/>
  <c r="AG16" i="69" s="1"/>
  <c r="AQ16" i="69" a="1"/>
  <c r="AQ16" i="69" s="1"/>
  <c r="AS16" i="69" a="1"/>
  <c r="AS16" i="69" s="1"/>
  <c r="AX1584" i="13"/>
  <c r="AV1584" i="13"/>
  <c r="AV1683" i="13" s="1"/>
  <c r="A1683" i="13"/>
  <c r="AX1683" i="13" s="1"/>
  <c r="O23" i="69"/>
  <c r="AV1452" i="13"/>
  <c r="AR87" i="4"/>
  <c r="AQ87" i="4"/>
  <c r="BI73" i="69" a="1"/>
  <c r="BI73" i="69" s="1"/>
  <c r="BF59" i="69"/>
  <c r="O59" i="72"/>
  <c r="BK59" i="72"/>
  <c r="O59" i="69"/>
  <c r="K73" i="72" a="1"/>
  <c r="K73" i="72" s="1"/>
  <c r="K74" i="72" a="1"/>
  <c r="K74" i="72" s="1"/>
  <c r="H49" i="72"/>
  <c r="H49" i="69"/>
  <c r="AH38" i="69" a="1"/>
  <c r="AH38" i="69" s="1"/>
  <c r="AP38" i="69" a="1"/>
  <c r="AP38" i="69" s="1"/>
  <c r="AF38" i="69" a="1"/>
  <c r="AF38" i="69" s="1"/>
  <c r="AL38" i="69" a="1"/>
  <c r="AL38" i="69" s="1"/>
  <c r="AV38" i="69" a="1"/>
  <c r="AV38" i="69" s="1"/>
  <c r="AR38" i="69" a="1"/>
  <c r="AR38" i="69" s="1"/>
  <c r="AU38" i="69" a="1"/>
  <c r="AU38" i="69" s="1"/>
  <c r="AI38" i="69" a="1"/>
  <c r="AI38" i="69" s="1"/>
  <c r="AS38" i="69" a="1"/>
  <c r="AS38" i="69" s="1"/>
  <c r="AV71" i="4" a="1"/>
  <c r="AV71" i="4" s="1"/>
  <c r="AU71" i="4"/>
  <c r="AT71" i="4" a="1"/>
  <c r="AT71" i="4" s="1"/>
  <c r="Y71" i="4"/>
  <c r="CA71" i="4"/>
  <c r="CY71" i="4"/>
  <c r="CZ71" i="4" s="1"/>
  <c r="BQ71" i="4"/>
  <c r="S94" i="4"/>
  <c r="Z1686" i="13"/>
  <c r="T94" i="4"/>
  <c r="AX79" i="72" a="1"/>
  <c r="AX79" i="72" s="1"/>
  <c r="AO79" i="72" a="1"/>
  <c r="AO79" i="72" s="1"/>
  <c r="AL79" i="72" a="1"/>
  <c r="AL79" i="72" s="1"/>
  <c r="BA79" i="72" a="1"/>
  <c r="BA79" i="72" s="1"/>
  <c r="AV79" i="72" a="1"/>
  <c r="AV79" i="72" s="1"/>
  <c r="AQ79" i="72" a="1"/>
  <c r="AQ79" i="72" s="1"/>
  <c r="AZ79" i="72" a="1"/>
  <c r="AZ79" i="72" s="1"/>
  <c r="AG79" i="72" a="1"/>
  <c r="AG79" i="72" s="1"/>
  <c r="AF79" i="72" a="1"/>
  <c r="AF79" i="72" s="1"/>
  <c r="AU79" i="72" a="1"/>
  <c r="AU79" i="72" s="1"/>
  <c r="AD80" i="69"/>
  <c r="AD80" i="72"/>
  <c r="O80" i="72"/>
  <c r="O80" i="69"/>
  <c r="BK80" i="72"/>
  <c r="BF80" i="69"/>
  <c r="K93" i="69" a="1"/>
  <c r="K93" i="69" s="1"/>
  <c r="H141" i="15" a="1"/>
  <c r="H141" i="15" s="1"/>
  <c r="F142" i="15" a="1"/>
  <c r="F142" i="15" s="1"/>
  <c r="H142" i="15" a="1"/>
  <c r="H142" i="15" s="1"/>
  <c r="AQ66" i="4"/>
  <c r="AR66" i="4"/>
  <c r="AQ83" i="4"/>
  <c r="AR83" i="4"/>
  <c r="AQ59" i="4"/>
  <c r="AR59" i="4"/>
  <c r="AG39" i="69" a="1"/>
  <c r="AG39" i="69" s="1"/>
  <c r="AR77" i="69" a="1"/>
  <c r="AR77" i="69" s="1"/>
  <c r="AI33" i="69" a="1"/>
  <c r="AI33" i="69" s="1"/>
  <c r="AG5" i="69" a="1"/>
  <c r="AG5" i="69" s="1"/>
  <c r="AI67" i="69" a="1"/>
  <c r="AI67" i="69" s="1"/>
  <c r="AG68" i="72" a="1"/>
  <c r="AG68" i="72" s="1"/>
  <c r="BK97" i="4"/>
  <c r="BC106" i="4" s="1"/>
  <c r="BG55" i="4"/>
  <c r="AV1153" i="13" s="1"/>
  <c r="AE3" i="1" s="1" a="1"/>
  <c r="AE3" i="1" s="1"/>
  <c r="AE101" i="1" s="1"/>
  <c r="BP194" i="4"/>
  <c r="G249" i="15" l="1"/>
  <c r="G648" i="15"/>
  <c r="C36" i="14"/>
  <c r="B36" i="14"/>
  <c r="G634" i="15"/>
  <c r="G519" i="15"/>
  <c r="G538" i="15"/>
  <c r="G421" i="15"/>
  <c r="G479" i="15"/>
  <c r="G326" i="15"/>
  <c r="G440" i="15"/>
  <c r="G573" i="15"/>
  <c r="G413" i="15"/>
  <c r="G283" i="15"/>
  <c r="G581" i="15"/>
  <c r="G337" i="15"/>
  <c r="G258" i="15"/>
  <c r="G531" i="15"/>
  <c r="G274" i="15"/>
  <c r="G395" i="15"/>
  <c r="G443" i="15"/>
  <c r="G468" i="15"/>
  <c r="G404" i="15"/>
  <c r="G481" i="15"/>
  <c r="G472" i="15"/>
  <c r="G296" i="15"/>
  <c r="G535" i="15"/>
  <c r="G509" i="15"/>
  <c r="G536" i="15"/>
  <c r="G398" i="15"/>
  <c r="G613" i="15"/>
  <c r="G360" i="15"/>
  <c r="G256" i="15"/>
  <c r="G498" i="15"/>
  <c r="G425" i="15"/>
  <c r="I425" i="15" a="1"/>
  <c r="I425" i="15" s="1"/>
  <c r="G373" i="15"/>
  <c r="G560" i="15"/>
  <c r="G497" i="15"/>
  <c r="G259" i="15"/>
  <c r="G336" i="15"/>
  <c r="G284" i="15"/>
  <c r="G269" i="15"/>
  <c r="G265" i="15"/>
  <c r="G436" i="15"/>
  <c r="G390" i="15"/>
  <c r="G432" i="15"/>
  <c r="G400" i="15"/>
  <c r="G358" i="15"/>
  <c r="G578" i="15"/>
  <c r="G486" i="15"/>
  <c r="G628" i="15"/>
  <c r="G354" i="15"/>
  <c r="G478" i="15"/>
  <c r="G608" i="15"/>
  <c r="G598" i="15"/>
  <c r="G540" i="15"/>
  <c r="G452" i="15"/>
  <c r="G267" i="15"/>
  <c r="G306" i="15"/>
  <c r="G490" i="15"/>
  <c r="G327" i="15"/>
  <c r="G295" i="15"/>
  <c r="G279" i="15"/>
  <c r="G641" i="15"/>
  <c r="G629" i="15"/>
  <c r="G615" i="15"/>
  <c r="G270" i="15"/>
  <c r="G474" i="15"/>
  <c r="G396" i="15"/>
  <c r="G488" i="15"/>
  <c r="G261" i="15"/>
  <c r="G307" i="15"/>
  <c r="G646" i="15"/>
  <c r="G367" i="15"/>
  <c r="G340" i="15"/>
  <c r="H42" i="15" a="1"/>
  <c r="H42" i="15" s="1"/>
  <c r="G433" i="15"/>
  <c r="G257" i="15"/>
  <c r="G588" i="15"/>
  <c r="G480" i="15"/>
  <c r="G512" i="15"/>
  <c r="G361" i="15"/>
  <c r="G448" i="15"/>
  <c r="G620" i="15"/>
  <c r="G464" i="15"/>
  <c r="G281" i="15"/>
  <c r="G471" i="15"/>
  <c r="G442" i="15"/>
  <c r="G419" i="15"/>
  <c r="G310" i="15"/>
  <c r="G441" i="15"/>
  <c r="G399" i="15"/>
  <c r="G571" i="15"/>
  <c r="G268" i="15"/>
  <c r="G625" i="15"/>
  <c r="G526" i="15"/>
  <c r="G482" i="15"/>
  <c r="G368" i="15"/>
  <c r="G583" i="15"/>
  <c r="G603" i="15"/>
  <c r="G461" i="15"/>
  <c r="G369" i="15"/>
  <c r="G500" i="15"/>
  <c r="G594" i="15"/>
  <c r="G494" i="15"/>
  <c r="G516" i="15"/>
  <c r="G247" i="15"/>
  <c r="G405" i="15"/>
  <c r="G445" i="15"/>
  <c r="G623" i="15"/>
  <c r="G355" i="15"/>
  <c r="G549" i="15"/>
  <c r="G304" i="15"/>
  <c r="G377" i="15"/>
  <c r="G348" i="15"/>
  <c r="G397" i="15"/>
  <c r="G254" i="15"/>
  <c r="G446" i="15"/>
  <c r="G422" i="15"/>
  <c r="G438" i="15"/>
  <c r="G375" i="15"/>
  <c r="G457" i="15"/>
  <c r="G574" i="15"/>
  <c r="G428" i="15"/>
  <c r="G278" i="15"/>
  <c r="G402" i="15"/>
  <c r="G632" i="15"/>
  <c r="G299" i="15"/>
  <c r="G554" i="15"/>
  <c r="G465" i="15"/>
  <c r="F41" i="23"/>
  <c r="P41" i="23" s="1"/>
  <c r="Z41" i="23" s="1"/>
  <c r="F43" i="23"/>
  <c r="P43" i="23" s="1"/>
  <c r="Z43" i="23" s="1"/>
  <c r="F40" i="23"/>
  <c r="P40" i="23" s="1"/>
  <c r="F42" i="23"/>
  <c r="P42" i="23" s="1"/>
  <c r="Z42" i="23" s="1"/>
  <c r="F42" i="15"/>
  <c r="I42" i="15" a="1"/>
  <c r="I42" i="15" s="1"/>
  <c r="AO23" i="69" a="1"/>
  <c r="AO23" i="69" s="1"/>
  <c r="BG104" i="4"/>
  <c r="BR193" i="4"/>
  <c r="D55" i="69" a="1"/>
  <c r="D55" i="69" s="1"/>
  <c r="BK103" i="4"/>
  <c r="AH55" i="72"/>
  <c r="BH55" i="72"/>
  <c r="BJ55" i="69"/>
  <c r="BM55" i="69" s="1"/>
  <c r="AV60" i="72" a="1"/>
  <c r="AV60" i="72" s="1"/>
  <c r="BQ55" i="72" a="1"/>
  <c r="BQ55" i="72" s="1"/>
  <c r="AE55" i="69" a="1"/>
  <c r="AE55" i="69" s="1"/>
  <c r="X104" i="72"/>
  <c r="X102" i="72"/>
  <c r="X105" i="72"/>
  <c r="AY55" i="72" a="1"/>
  <c r="AY55" i="72" s="1"/>
  <c r="BQ108" i="4"/>
  <c r="Z1713" i="13"/>
  <c r="BA202" i="4"/>
  <c r="AD57" i="72"/>
  <c r="G241" i="15"/>
  <c r="AZ23" i="72" a="1"/>
  <c r="AZ23" i="72" s="1"/>
  <c r="AV23" i="72" a="1"/>
  <c r="AV23" i="72" s="1"/>
  <c r="AO23" i="72" a="1"/>
  <c r="AO23" i="72" s="1"/>
  <c r="AF23" i="72" a="1"/>
  <c r="AF23" i="72" s="1"/>
  <c r="BA23" i="72" a="1"/>
  <c r="BA23" i="72" s="1"/>
  <c r="AL23" i="72" a="1"/>
  <c r="AL23" i="72" s="1"/>
  <c r="AQ23" i="72" a="1"/>
  <c r="AQ23" i="72" s="1"/>
  <c r="AG23" i="72" a="1"/>
  <c r="AG23" i="72" s="1"/>
  <c r="AU23" i="72" a="1"/>
  <c r="AU23" i="72" s="1"/>
  <c r="AW23" i="72" a="1"/>
  <c r="AW23" i="72" s="1"/>
  <c r="AX23" i="72" a="1"/>
  <c r="AX23" i="72" s="1"/>
  <c r="G223" i="15"/>
  <c r="BK83" i="72"/>
  <c r="AD83" i="69"/>
  <c r="O83" i="69"/>
  <c r="AD83" i="72"/>
  <c r="BF83" i="69"/>
  <c r="O83" i="72"/>
  <c r="H72" i="69"/>
  <c r="H72" i="72"/>
  <c r="G179" i="15"/>
  <c r="BI55" i="72"/>
  <c r="BI97" i="72" s="1"/>
  <c r="AM55" i="72"/>
  <c r="AM97" i="72" s="1"/>
  <c r="BV55" i="72"/>
  <c r="AV1731" i="13"/>
  <c r="AB1731" i="13"/>
  <c r="Z1773" i="13"/>
  <c r="G185" i="15"/>
  <c r="BD55" i="69"/>
  <c r="BD97" i="69" s="1"/>
  <c r="B55" i="69"/>
  <c r="X105" i="69"/>
  <c r="X103" i="69"/>
  <c r="X104" i="69"/>
  <c r="X102" i="69"/>
  <c r="G238" i="15"/>
  <c r="AD96" i="69"/>
  <c r="O96" i="72"/>
  <c r="O96" i="69"/>
  <c r="BF94" i="69"/>
  <c r="BK96" i="72"/>
  <c r="BK94" i="72"/>
  <c r="O94" i="69"/>
  <c r="O95" i="72"/>
  <c r="BK95" i="72"/>
  <c r="BF96" i="69"/>
  <c r="BF95" i="69"/>
  <c r="O94" i="72"/>
  <c r="O95" i="69"/>
  <c r="AD96" i="72"/>
  <c r="AP23" i="72" a="1"/>
  <c r="AP23" i="72" s="1"/>
  <c r="BG103" i="4"/>
  <c r="H87" i="72"/>
  <c r="H87" i="69"/>
  <c r="C96" i="69"/>
  <c r="D96" i="69" s="1" a="1"/>
  <c r="D96" i="69" s="1"/>
  <c r="C96" i="72"/>
  <c r="D96" i="72" s="1" a="1"/>
  <c r="D96" i="72" s="1"/>
  <c r="C95" i="69"/>
  <c r="D95" i="69" s="1" a="1"/>
  <c r="D95" i="69" s="1"/>
  <c r="C94" i="72"/>
  <c r="D94" i="72" s="1" a="1"/>
  <c r="D94" i="72" s="1"/>
  <c r="C95" i="72"/>
  <c r="D95" i="72" s="1" a="1"/>
  <c r="D95" i="72" s="1"/>
  <c r="C94" i="69"/>
  <c r="D94" i="69" s="1" a="1"/>
  <c r="D94" i="69" s="1"/>
  <c r="H77" i="72"/>
  <c r="H77" i="69"/>
  <c r="H82" i="72"/>
  <c r="H82" i="69"/>
  <c r="H71" i="69"/>
  <c r="H71" i="72"/>
  <c r="Z1737" i="13"/>
  <c r="BM103" i="4"/>
  <c r="Z1720" i="13" s="1"/>
  <c r="T67" i="4"/>
  <c r="S67" i="4"/>
  <c r="Z1659" i="13"/>
  <c r="G208" i="15"/>
  <c r="C72" i="69"/>
  <c r="D72" i="69" s="1" a="1"/>
  <c r="D72" i="69" s="1"/>
  <c r="C72" i="72"/>
  <c r="D72" i="72" s="1" a="1"/>
  <c r="D72" i="72" s="1"/>
  <c r="Z1554" i="13"/>
  <c r="AV1450" i="13"/>
  <c r="A1549" i="13"/>
  <c r="AX1450" i="13"/>
  <c r="T30" i="4"/>
  <c r="Z1622" i="13"/>
  <c r="S30" i="4"/>
  <c r="AE55" i="72" a="1"/>
  <c r="AE55" i="72" s="1"/>
  <c r="E55" i="72"/>
  <c r="BG204" i="4"/>
  <c r="C81" i="72"/>
  <c r="D81" i="72" s="1" a="1"/>
  <c r="D81" i="72" s="1"/>
  <c r="C81" i="69"/>
  <c r="D81" i="69" s="1" a="1"/>
  <c r="D81" i="69" s="1"/>
  <c r="C61" i="69"/>
  <c r="D61" i="69" s="1" a="1"/>
  <c r="D61" i="69" s="1"/>
  <c r="C61" i="72"/>
  <c r="D61" i="72" s="1" a="1"/>
  <c r="D61" i="72" s="1"/>
  <c r="C76" i="72"/>
  <c r="D76" i="72" s="1" a="1"/>
  <c r="D76" i="72" s="1"/>
  <c r="C76" i="69"/>
  <c r="D76" i="69" s="1" a="1"/>
  <c r="D76" i="69" s="1"/>
  <c r="C69" i="72"/>
  <c r="D69" i="72" s="1" a="1"/>
  <c r="D69" i="72" s="1"/>
  <c r="C69" i="69"/>
  <c r="D69" i="69" s="1" a="1"/>
  <c r="D69" i="69" s="1"/>
  <c r="BN23" i="72" a="1"/>
  <c r="BN23" i="72" s="1"/>
  <c r="H75" i="72"/>
  <c r="H75" i="69"/>
  <c r="AV1725" i="13"/>
  <c r="AB1725" i="13"/>
  <c r="Z1767" i="13"/>
  <c r="C63" i="69"/>
  <c r="D63" i="69" s="1" a="1"/>
  <c r="D63" i="69" s="1"/>
  <c r="C63" i="72"/>
  <c r="D63" i="72" s="1" a="1"/>
  <c r="D63" i="72" s="1"/>
  <c r="H74" i="72"/>
  <c r="H74" i="69"/>
  <c r="C59" i="69"/>
  <c r="D59" i="69" s="1" a="1"/>
  <c r="D59" i="69" s="1"/>
  <c r="C59" i="72"/>
  <c r="D59" i="72" s="1" a="1"/>
  <c r="D59" i="72" s="1"/>
  <c r="C89" i="72"/>
  <c r="D89" i="72" s="1" a="1"/>
  <c r="D89" i="72" s="1"/>
  <c r="C89" i="69"/>
  <c r="D89" i="69" s="1" a="1"/>
  <c r="D89" i="69" s="1"/>
  <c r="G154" i="15"/>
  <c r="BE103" i="4"/>
  <c r="Z1714" i="13" s="1"/>
  <c r="H90" i="72"/>
  <c r="H90" i="69"/>
  <c r="AK60" i="69" a="1"/>
  <c r="AK60" i="69" s="1"/>
  <c r="H81" i="72"/>
  <c r="H81" i="69"/>
  <c r="H76" i="72"/>
  <c r="H76" i="69"/>
  <c r="AB1769" i="13"/>
  <c r="AV1769" i="13"/>
  <c r="AX1769" i="13" s="1"/>
  <c r="BC104" i="4"/>
  <c r="C93" i="69"/>
  <c r="D93" i="69" s="1" a="1"/>
  <c r="D93" i="69" s="1"/>
  <c r="C93" i="72"/>
  <c r="D93" i="72" s="1" a="1"/>
  <c r="D93" i="72" s="1"/>
  <c r="H63" i="69"/>
  <c r="H63" i="72"/>
  <c r="G215" i="15"/>
  <c r="BE104" i="4"/>
  <c r="Z1735" i="13" s="1"/>
  <c r="H59" i="69"/>
  <c r="H59" i="72"/>
  <c r="BF57" i="69"/>
  <c r="O57" i="69"/>
  <c r="BK57" i="72"/>
  <c r="O57" i="72"/>
  <c r="G242" i="15"/>
  <c r="BG97" i="4"/>
  <c r="H57" i="72"/>
  <c r="H57" i="69"/>
  <c r="C90" i="72"/>
  <c r="D90" i="72" s="1" a="1"/>
  <c r="D90" i="72" s="1"/>
  <c r="C90" i="69"/>
  <c r="D90" i="69" s="1" a="1"/>
  <c r="D90" i="69" s="1"/>
  <c r="AR57" i="4"/>
  <c r="AQ57" i="4"/>
  <c r="E55" i="69"/>
  <c r="N3" i="27" s="1" a="1"/>
  <c r="N3" i="27" s="1"/>
  <c r="AD62" i="69"/>
  <c r="C73" i="69"/>
  <c r="D73" i="69" s="1" a="1"/>
  <c r="D73" i="69" s="1"/>
  <c r="C73" i="72"/>
  <c r="D73" i="72" s="1" a="1"/>
  <c r="D73" i="72" s="1"/>
  <c r="BP103" i="4"/>
  <c r="C80" i="69"/>
  <c r="D80" i="69" s="1" a="1"/>
  <c r="D80" i="69" s="1"/>
  <c r="C80" i="72"/>
  <c r="D80" i="72" s="1" a="1"/>
  <c r="D80" i="72" s="1"/>
  <c r="C57" i="69"/>
  <c r="D57" i="69" s="1" a="1"/>
  <c r="D57" i="69" s="1"/>
  <c r="C57" i="72"/>
  <c r="D57" i="72" s="1" a="1"/>
  <c r="D57" i="72" s="1"/>
  <c r="H55" i="72"/>
  <c r="BE55" i="72"/>
  <c r="BF55" i="72"/>
  <c r="BF97" i="72" s="1"/>
  <c r="AJ55" i="72"/>
  <c r="BL97" i="4"/>
  <c r="BM55" i="4"/>
  <c r="BC103" i="4"/>
  <c r="BR103" i="4"/>
  <c r="Z1724" i="13" s="1"/>
  <c r="AW103" i="4" a="1"/>
  <c r="AW103" i="4" s="1"/>
  <c r="BK104" i="4"/>
  <c r="Z1740" i="13" s="1"/>
  <c r="BD104" i="4"/>
  <c r="BF104" i="4"/>
  <c r="Z1736" i="13" s="1"/>
  <c r="AW104" i="4" a="1"/>
  <c r="AW104" i="4" s="1"/>
  <c r="BI104" i="4"/>
  <c r="BH103" i="4"/>
  <c r="Z1717" i="13" s="1"/>
  <c r="BO104" i="4"/>
  <c r="BR104" i="4"/>
  <c r="BH104" i="4"/>
  <c r="Z1738" i="13" s="1"/>
  <c r="BR107" i="4"/>
  <c r="BB103" i="4"/>
  <c r="BR106" i="4"/>
  <c r="G3" i="1" a="1"/>
  <c r="G3" i="1" s="1"/>
  <c r="G101" i="1" s="1"/>
  <c r="BP193" i="4"/>
  <c r="BL55" i="69" a="1"/>
  <c r="BL55" i="69" s="1"/>
  <c r="BH55" i="69" a="1"/>
  <c r="BH55" i="69" s="1"/>
  <c r="BB55" i="69"/>
  <c r="AQ55" i="69" s="1" a="1"/>
  <c r="AQ55" i="69" s="1"/>
  <c r="R55" i="69"/>
  <c r="AK55" i="69" a="1"/>
  <c r="AK55" i="69" s="1"/>
  <c r="BI55" i="69" a="1"/>
  <c r="BI55" i="69" s="1"/>
  <c r="AY55" i="69"/>
  <c r="BO55" i="69"/>
  <c r="H73" i="69"/>
  <c r="H73" i="72"/>
  <c r="BF88" i="69"/>
  <c r="O88" i="69"/>
  <c r="O88" i="72"/>
  <c r="BK88" i="72"/>
  <c r="H85" i="72"/>
  <c r="H85" i="69"/>
  <c r="H69" i="72"/>
  <c r="H69" i="69"/>
  <c r="C70" i="69"/>
  <c r="D70" i="69" s="1" a="1"/>
  <c r="D70" i="69" s="1"/>
  <c r="C70" i="72"/>
  <c r="D70" i="72" s="1" a="1"/>
  <c r="D70" i="72" s="1"/>
  <c r="BF71" i="69"/>
  <c r="AD71" i="72"/>
  <c r="O71" i="69"/>
  <c r="O71" i="72"/>
  <c r="BK71" i="72"/>
  <c r="AD71" i="69"/>
  <c r="O58" i="72"/>
  <c r="O58" i="69"/>
  <c r="BK58" i="72"/>
  <c r="BF58" i="69"/>
  <c r="C65" i="72"/>
  <c r="D65" i="72" s="1" a="1"/>
  <c r="D65" i="72" s="1"/>
  <c r="C65" i="69"/>
  <c r="D65" i="69" s="1" a="1"/>
  <c r="D65" i="69" s="1"/>
  <c r="H70" i="72"/>
  <c r="H70" i="69"/>
  <c r="H80" i="69"/>
  <c r="H80" i="72"/>
  <c r="H93" i="72"/>
  <c r="H93" i="69"/>
  <c r="BJ103" i="4"/>
  <c r="BD97" i="4"/>
  <c r="BJ104" i="4"/>
  <c r="H89" i="72"/>
  <c r="H89" i="69"/>
  <c r="G200" i="15"/>
  <c r="H83" i="69"/>
  <c r="H83" i="72"/>
  <c r="BS55" i="72"/>
  <c r="BC107" i="4"/>
  <c r="BF107" i="4" s="1"/>
  <c r="AT55" i="69" a="1"/>
  <c r="AT55" i="69" s="1"/>
  <c r="AV457" i="13"/>
  <c r="U3" i="1" s="1" a="1"/>
  <c r="U3" i="1" s="1"/>
  <c r="U101" i="1" s="1"/>
  <c r="S3" i="1" a="1"/>
  <c r="S3" i="1" s="1"/>
  <c r="S101" i="1" s="1"/>
  <c r="AT23" i="72" a="1"/>
  <c r="AT23" i="72" s="1"/>
  <c r="C85" i="72"/>
  <c r="D85" i="72" s="1" a="1"/>
  <c r="D85" i="72" s="1"/>
  <c r="C85" i="69"/>
  <c r="D85" i="69" s="1" a="1"/>
  <c r="D85" i="69" s="1"/>
  <c r="BP104" i="4"/>
  <c r="Z41" i="14"/>
  <c r="Z43" i="14"/>
  <c r="Z42" i="14"/>
  <c r="G240" i="15"/>
  <c r="C68" i="69"/>
  <c r="D68" i="69" s="1" a="1"/>
  <c r="D68" i="69" s="1"/>
  <c r="C68" i="72"/>
  <c r="D68" i="72" s="1" a="1"/>
  <c r="D68" i="72" s="1"/>
  <c r="H66" i="69"/>
  <c r="H66" i="72"/>
  <c r="C86" i="69"/>
  <c r="D86" i="69" s="1" a="1"/>
  <c r="D86" i="69" s="1"/>
  <c r="C86" i="72"/>
  <c r="D86" i="72" s="1" a="1"/>
  <c r="D86" i="72" s="1"/>
  <c r="H67" i="69"/>
  <c r="H67" i="72"/>
  <c r="H84" i="72"/>
  <c r="H84" i="69"/>
  <c r="AO60" i="69" a="1"/>
  <c r="AO60" i="69" s="1"/>
  <c r="AQ60" i="69" a="1"/>
  <c r="AQ60" i="69" s="1"/>
  <c r="AF60" i="69" a="1"/>
  <c r="AF60" i="69" s="1"/>
  <c r="AH60" i="69" a="1"/>
  <c r="AH60" i="69" s="1"/>
  <c r="AP60" i="69" a="1"/>
  <c r="AP60" i="69" s="1"/>
  <c r="AJ60" i="69" a="1"/>
  <c r="AJ60" i="69" s="1"/>
  <c r="AI60" i="69" a="1"/>
  <c r="AI60" i="69" s="1"/>
  <c r="AL60" i="69" a="1"/>
  <c r="AL60" i="69" s="1"/>
  <c r="AG60" i="69" a="1"/>
  <c r="AG60" i="69" s="1"/>
  <c r="AU60" i="69" a="1"/>
  <c r="AU60" i="69" s="1"/>
  <c r="AV60" i="69" a="1"/>
  <c r="AV60" i="69" s="1"/>
  <c r="AR60" i="69" a="1"/>
  <c r="AR60" i="69" s="1"/>
  <c r="AS60" i="69" a="1"/>
  <c r="AS60" i="69" s="1"/>
  <c r="H56" i="72"/>
  <c r="H56" i="69"/>
  <c r="C55" i="72"/>
  <c r="D55" i="72" s="1" a="1"/>
  <c r="D55" i="72" s="1"/>
  <c r="AG23" i="69" a="1"/>
  <c r="AG23" i="69" s="1"/>
  <c r="L55" i="69"/>
  <c r="H65" i="72"/>
  <c r="H65" i="69"/>
  <c r="G172" i="15"/>
  <c r="BO103" i="4"/>
  <c r="AD92" i="72"/>
  <c r="BK92" i="72"/>
  <c r="BF92" i="69"/>
  <c r="O92" i="72"/>
  <c r="O92" i="69"/>
  <c r="C88" i="69"/>
  <c r="D88" i="69" s="1" a="1"/>
  <c r="D88" i="69" s="1"/>
  <c r="C88" i="72"/>
  <c r="D88" i="72" s="1" a="1"/>
  <c r="D88" i="72" s="1"/>
  <c r="AB1746" i="13"/>
  <c r="AV1746" i="13"/>
  <c r="F40" i="14"/>
  <c r="P40" i="14" s="1"/>
  <c r="F41" i="14"/>
  <c r="P41" i="14" s="1"/>
  <c r="F42" i="14"/>
  <c r="P42" i="14" s="1"/>
  <c r="F43" i="14"/>
  <c r="P43" i="14" s="1"/>
  <c r="H68" i="69"/>
  <c r="H68" i="72"/>
  <c r="G142" i="15"/>
  <c r="I142" i="15" a="1"/>
  <c r="I142" i="15" s="1"/>
  <c r="G231" i="15"/>
  <c r="G209" i="15"/>
  <c r="G210" i="15"/>
  <c r="C67" i="72"/>
  <c r="D67" i="72" s="1" a="1"/>
  <c r="D67" i="72" s="1"/>
  <c r="C67" i="69"/>
  <c r="D67" i="69" s="1" a="1"/>
  <c r="D67" i="69" s="1"/>
  <c r="X55" i="4"/>
  <c r="X97" i="4" s="1"/>
  <c r="G164" i="15"/>
  <c r="C84" i="69"/>
  <c r="D84" i="69" s="1" a="1"/>
  <c r="D84" i="69" s="1"/>
  <c r="C84" i="72"/>
  <c r="D84" i="72" s="1" a="1"/>
  <c r="D84" i="72" s="1"/>
  <c r="C56" i="72"/>
  <c r="D56" i="72" s="1" a="1"/>
  <c r="D56" i="72" s="1"/>
  <c r="C56" i="69"/>
  <c r="D56" i="69" s="1" a="1"/>
  <c r="D56" i="69" s="1"/>
  <c r="H58" i="69"/>
  <c r="H58" i="72"/>
  <c r="AS55" i="69" a="1"/>
  <c r="AS55" i="69" s="1"/>
  <c r="AJ55" i="69" a="1"/>
  <c r="AJ55" i="69" s="1"/>
  <c r="AV55" i="69" a="1"/>
  <c r="AV55" i="69" s="1"/>
  <c r="AL55" i="69" a="1"/>
  <c r="AL55" i="69" s="1"/>
  <c r="AF55" i="69" a="1"/>
  <c r="AF55" i="69" s="1"/>
  <c r="AH55" i="69" a="1"/>
  <c r="AH55" i="69" s="1"/>
  <c r="AU55" i="69" a="1"/>
  <c r="AU55" i="69" s="1"/>
  <c r="AP55" i="69" a="1"/>
  <c r="AP55" i="69" s="1"/>
  <c r="BF62" i="69"/>
  <c r="O62" i="69"/>
  <c r="O62" i="72"/>
  <c r="BK62" i="72"/>
  <c r="O85" i="72"/>
  <c r="BK85" i="72"/>
  <c r="O85" i="69"/>
  <c r="BF85" i="69"/>
  <c r="AD58" i="72"/>
  <c r="H88" i="72"/>
  <c r="H88" i="69"/>
  <c r="G191" i="15"/>
  <c r="C78" i="69"/>
  <c r="D78" i="69" s="1" a="1"/>
  <c r="D78" i="69" s="1"/>
  <c r="C78" i="72"/>
  <c r="D78" i="72" s="1" a="1"/>
  <c r="D78" i="72" s="1"/>
  <c r="C74" i="72"/>
  <c r="D74" i="72" s="1" a="1"/>
  <c r="D74" i="72" s="1"/>
  <c r="C74" i="69"/>
  <c r="D74" i="69" s="1" a="1"/>
  <c r="D74" i="69" s="1"/>
  <c r="I166" i="15" a="1"/>
  <c r="I166" i="15" s="1"/>
  <c r="G166" i="15"/>
  <c r="BR55" i="4"/>
  <c r="AD55" i="69" s="1"/>
  <c r="C66" i="69"/>
  <c r="D66" i="69" s="1" a="1"/>
  <c r="D66" i="69" s="1"/>
  <c r="C66" i="72"/>
  <c r="D66" i="72" s="1" a="1"/>
  <c r="D66" i="72" s="1"/>
  <c r="H86" i="69"/>
  <c r="H86" i="72"/>
  <c r="G233" i="15"/>
  <c r="C83" i="72"/>
  <c r="D83" i="72" s="1" a="1"/>
  <c r="D83" i="72" s="1"/>
  <c r="C83" i="69"/>
  <c r="D83" i="69" s="1" a="1"/>
  <c r="D83" i="69" s="1"/>
  <c r="BF1765" i="13"/>
  <c r="C58" i="69"/>
  <c r="D58" i="69" s="1" a="1"/>
  <c r="D58" i="69" s="1"/>
  <c r="C58" i="72"/>
  <c r="D58" i="72" s="1" a="1"/>
  <c r="D58" i="72" s="1"/>
  <c r="B9" i="27"/>
  <c r="A10" i="27"/>
  <c r="BA55" i="69"/>
  <c r="BA97" i="69" s="1"/>
  <c r="AZ55" i="69"/>
  <c r="O3" i="1" s="1" a="1"/>
  <c r="O3" i="1" s="1"/>
  <c r="O101" i="1" s="1"/>
  <c r="AR23" i="69" a="1"/>
  <c r="AR23" i="69" s="1"/>
  <c r="DK70" i="4"/>
  <c r="DK25" i="4"/>
  <c r="DK19" i="4"/>
  <c r="DK64" i="4"/>
  <c r="DK38" i="4"/>
  <c r="DK35" i="4"/>
  <c r="DK82" i="4"/>
  <c r="DK20" i="4"/>
  <c r="DK22" i="4"/>
  <c r="DK52" i="4"/>
  <c r="DI3" i="4"/>
  <c r="DK3" i="4" s="1"/>
  <c r="DK83" i="4"/>
  <c r="DK50" i="4"/>
  <c r="DK44" i="4"/>
  <c r="DK26" i="4"/>
  <c r="DK13" i="4"/>
  <c r="DK71" i="4"/>
  <c r="DK33" i="4"/>
  <c r="DK37" i="4"/>
  <c r="DK4" i="4"/>
  <c r="DK66" i="4"/>
  <c r="DK93" i="4"/>
  <c r="DK8" i="4"/>
  <c r="DK17" i="4"/>
  <c r="DK6" i="4"/>
  <c r="DK29" i="4"/>
  <c r="DK80" i="4"/>
  <c r="DK41" i="4"/>
  <c r="DK84" i="4"/>
  <c r="DK86" i="4"/>
  <c r="DK72" i="4"/>
  <c r="DK77" i="4"/>
  <c r="DK9" i="4"/>
  <c r="DK92" i="4"/>
  <c r="DK11" i="4"/>
  <c r="DK95" i="4"/>
  <c r="DK68" i="4"/>
  <c r="DK55" i="4"/>
  <c r="DK34" i="4"/>
  <c r="DK32" i="4"/>
  <c r="DK48" i="4"/>
  <c r="DK96" i="4"/>
  <c r="DK28" i="4"/>
  <c r="DK36" i="4"/>
  <c r="DK91" i="4"/>
  <c r="DK46" i="4"/>
  <c r="DK69" i="4"/>
  <c r="DK23" i="4"/>
  <c r="DK53" i="4"/>
  <c r="DK5" i="4"/>
  <c r="DK65" i="4"/>
  <c r="DK45" i="4"/>
  <c r="DK12" i="4"/>
  <c r="DK58" i="4"/>
  <c r="DK10" i="4"/>
  <c r="DK21" i="4"/>
  <c r="DK7" i="4"/>
  <c r="DK56" i="4"/>
  <c r="DK73" i="4"/>
  <c r="DK85" i="4"/>
  <c r="DK79" i="4"/>
  <c r="DK31" i="4"/>
  <c r="DK57" i="4"/>
  <c r="DK81" i="4"/>
  <c r="DK94" i="4"/>
  <c r="DK49" i="4"/>
  <c r="DK89" i="4"/>
  <c r="DK88" i="4"/>
  <c r="DK47" i="4"/>
  <c r="DK63" i="4"/>
  <c r="DK42" i="4"/>
  <c r="DK62" i="4"/>
  <c r="DK27" i="4"/>
  <c r="DK87" i="4"/>
  <c r="DK67" i="4"/>
  <c r="DK39" i="4"/>
  <c r="DK43" i="4"/>
  <c r="DK74" i="4"/>
  <c r="DK18" i="4"/>
  <c r="DK90" i="4"/>
  <c r="DK75" i="4"/>
  <c r="DK54" i="4"/>
  <c r="DK76" i="4"/>
  <c r="DK15" i="4"/>
  <c r="DK78" i="4"/>
  <c r="DK14" i="4"/>
  <c r="DK59" i="4"/>
  <c r="DK16" i="4"/>
  <c r="DK60" i="4"/>
  <c r="DK30" i="4"/>
  <c r="DK24" i="4"/>
  <c r="DK40" i="4"/>
  <c r="DK51" i="4"/>
  <c r="DK61" i="4"/>
  <c r="AD58" i="69"/>
  <c r="BI103" i="4"/>
  <c r="H96" i="72"/>
  <c r="H94" i="69"/>
  <c r="H95" i="72"/>
  <c r="H95" i="69"/>
  <c r="H94" i="72"/>
  <c r="H92" i="72"/>
  <c r="H92" i="69"/>
  <c r="H78" i="72"/>
  <c r="H78" i="69"/>
  <c r="G228" i="15"/>
  <c r="Z1768" i="13"/>
  <c r="AB1747" i="13"/>
  <c r="AV1747" i="13"/>
  <c r="AV1554" i="13"/>
  <c r="AV1653" i="13" s="1"/>
  <c r="AX1554" i="13"/>
  <c r="A1653" i="13"/>
  <c r="AX1653" i="13" s="1"/>
  <c r="I195" i="15" a="1"/>
  <c r="I195" i="15" s="1"/>
  <c r="G195" i="15"/>
  <c r="Z1719" i="13"/>
  <c r="CA97" i="4"/>
  <c r="H64" i="69"/>
  <c r="H64" i="72"/>
  <c r="BO55" i="72"/>
  <c r="BR55" i="72" s="1"/>
  <c r="AS23" i="69" a="1"/>
  <c r="AS23" i="69" s="1"/>
  <c r="AJ23" i="69" a="1"/>
  <c r="AJ23" i="69" s="1"/>
  <c r="AP23" i="69" a="1"/>
  <c r="AP23" i="69" s="1"/>
  <c r="AV23" i="69" a="1"/>
  <c r="AV23" i="69" s="1"/>
  <c r="AH23" i="69" a="1"/>
  <c r="AH23" i="69" s="1"/>
  <c r="AF23" i="69" a="1"/>
  <c r="AF23" i="69" s="1"/>
  <c r="AU23" i="69" a="1"/>
  <c r="AU23" i="69" s="1"/>
  <c r="AL23" i="69" a="1"/>
  <c r="AL23" i="69" s="1"/>
  <c r="AQ23" i="69" a="1"/>
  <c r="AQ23" i="69" s="1"/>
  <c r="AI23" i="69" a="1"/>
  <c r="AI23" i="69" s="1"/>
  <c r="BC55" i="69"/>
  <c r="BQ55" i="69"/>
  <c r="AO55" i="69" a="1"/>
  <c r="AO55" i="69" s="1"/>
  <c r="H62" i="69"/>
  <c r="H62" i="72"/>
  <c r="C75" i="72"/>
  <c r="D75" i="72" s="1" a="1"/>
  <c r="D75" i="72" s="1"/>
  <c r="C75" i="69"/>
  <c r="D75" i="69" s="1" a="1"/>
  <c r="D75" i="69" s="1"/>
  <c r="BF103" i="4"/>
  <c r="Z1715" i="13" s="1"/>
  <c r="C87" i="72"/>
  <c r="D87" i="72" s="1" a="1"/>
  <c r="D87" i="72" s="1"/>
  <c r="C87" i="69"/>
  <c r="D87" i="69" s="1" a="1"/>
  <c r="D87" i="69" s="1"/>
  <c r="X103" i="72"/>
  <c r="AD85" i="69"/>
  <c r="C71" i="69"/>
  <c r="D71" i="69" s="1" a="1"/>
  <c r="D71" i="69" s="1"/>
  <c r="C71" i="72"/>
  <c r="D71" i="72" s="1" a="1"/>
  <c r="D71" i="72" s="1"/>
  <c r="G235" i="15"/>
  <c r="AV1726" i="13"/>
  <c r="AB1726" i="13"/>
  <c r="AX1517" i="13"/>
  <c r="AV1517" i="13"/>
  <c r="AV1616" i="13" s="1"/>
  <c r="A1616" i="13"/>
  <c r="AX1616" i="13" s="1"/>
  <c r="BQ193" i="4"/>
  <c r="C64" i="69"/>
  <c r="D64" i="69" s="1" a="1"/>
  <c r="D64" i="69" s="1"/>
  <c r="C64" i="72"/>
  <c r="D64" i="72" s="1" a="1"/>
  <c r="D64" i="72" s="1"/>
  <c r="L55" i="72"/>
  <c r="R55" i="72"/>
  <c r="BT55" i="72"/>
  <c r="BG55" i="72"/>
  <c r="BD55" i="72"/>
  <c r="AI55" i="72"/>
  <c r="AI97" i="72" s="1"/>
  <c r="BM55" i="72" a="1"/>
  <c r="BM55" i="72" s="1"/>
  <c r="AN55" i="72"/>
  <c r="BN55" i="72" a="1"/>
  <c r="BN55" i="72" s="1"/>
  <c r="BN55" i="69"/>
  <c r="H61" i="69"/>
  <c r="H61" i="72"/>
  <c r="BI23" i="69" a="1"/>
  <c r="BI23" i="69" s="1"/>
  <c r="C62" i="72"/>
  <c r="D62" i="72" s="1" a="1"/>
  <c r="D62" i="72" s="1"/>
  <c r="C62" i="69"/>
  <c r="D62" i="69" s="1" a="1"/>
  <c r="D62" i="69" s="1"/>
  <c r="G226" i="15"/>
  <c r="BB104" i="4"/>
  <c r="C92" i="69"/>
  <c r="D92" i="69" s="1" a="1"/>
  <c r="D92" i="69" s="1"/>
  <c r="C92" i="72"/>
  <c r="D92" i="72" s="1" a="1"/>
  <c r="D92" i="72" s="1"/>
  <c r="C77" i="72"/>
  <c r="D77" i="72" s="1" a="1"/>
  <c r="D77" i="72" s="1"/>
  <c r="C77" i="69"/>
  <c r="D77" i="69" s="1" a="1"/>
  <c r="D77" i="69" s="1"/>
  <c r="C82" i="72"/>
  <c r="D82" i="72" s="1" a="1"/>
  <c r="D82" i="72" s="1"/>
  <c r="C82" i="69"/>
  <c r="D82" i="69" s="1" a="1"/>
  <c r="D82" i="69" s="1"/>
  <c r="AR55" i="69" l="1" a="1"/>
  <c r="AR55" i="69" s="1"/>
  <c r="BJ105" i="4"/>
  <c r="BK105" i="4"/>
  <c r="AN101" i="72"/>
  <c r="AN97" i="72"/>
  <c r="AN99" i="72" s="1"/>
  <c r="AK55" i="72"/>
  <c r="AK97" i="72" s="1"/>
  <c r="BE97" i="72"/>
  <c r="AL97" i="69"/>
  <c r="AH100" i="69"/>
  <c r="AW98" i="69"/>
  <c r="AV98" i="69"/>
  <c r="AG55" i="69" a="1"/>
  <c r="AG55" i="69" s="1"/>
  <c r="AG97" i="69" s="1"/>
  <c r="BP108" i="4"/>
  <c r="AW105" i="4"/>
  <c r="AI55" i="69" a="1"/>
  <c r="AI55" i="69" s="1"/>
  <c r="AI97" i="69" s="1"/>
  <c r="AP97" i="69"/>
  <c r="L3" i="27" a="1"/>
  <c r="L3" i="27" s="1"/>
  <c r="AM101" i="72"/>
  <c r="AM102" i="72" s="1"/>
  <c r="DN75" i="4"/>
  <c r="DM75" i="4"/>
  <c r="DL75" i="4"/>
  <c r="DN24" i="4"/>
  <c r="DL24" i="4"/>
  <c r="DM24" i="4"/>
  <c r="DN18" i="4"/>
  <c r="DL18" i="4"/>
  <c r="DM18" i="4"/>
  <c r="DL60" i="4"/>
  <c r="DM60" i="4"/>
  <c r="DN60" i="4"/>
  <c r="DN43" i="4"/>
  <c r="DM43" i="4"/>
  <c r="DL43" i="4"/>
  <c r="DM94" i="4"/>
  <c r="DN94" i="4"/>
  <c r="DL94" i="4"/>
  <c r="DM12" i="4"/>
  <c r="DL12" i="4"/>
  <c r="DN12" i="4"/>
  <c r="DM48" i="4"/>
  <c r="DN48" i="4"/>
  <c r="DL48" i="4"/>
  <c r="DL84" i="4"/>
  <c r="DN84" i="4"/>
  <c r="DM84" i="4"/>
  <c r="DM71" i="4"/>
  <c r="DN71" i="4"/>
  <c r="DL71" i="4"/>
  <c r="DL38" i="4"/>
  <c r="DM38" i="4"/>
  <c r="DN38" i="4"/>
  <c r="AB1717" i="13"/>
  <c r="Z1759" i="13"/>
  <c r="AV1717" i="13"/>
  <c r="AV1767" i="13"/>
  <c r="AX1767" i="13" s="1"/>
  <c r="AB1767" i="13"/>
  <c r="AV1720" i="13"/>
  <c r="AB1720" i="13"/>
  <c r="AV97" i="69"/>
  <c r="DN62" i="4"/>
  <c r="DL62" i="4"/>
  <c r="DM62" i="4"/>
  <c r="DN23" i="4"/>
  <c r="DL23" i="4"/>
  <c r="DM23" i="4"/>
  <c r="DL95" i="4"/>
  <c r="DM95" i="4"/>
  <c r="DN95" i="4"/>
  <c r="DM17" i="4"/>
  <c r="DL17" i="4"/>
  <c r="DN17" i="4"/>
  <c r="DN90" i="4"/>
  <c r="DM90" i="4"/>
  <c r="DL90" i="4"/>
  <c r="DM36" i="4"/>
  <c r="DL36" i="4"/>
  <c r="DN36" i="4"/>
  <c r="DL4" i="4"/>
  <c r="DM4" i="4"/>
  <c r="DN4" i="4"/>
  <c r="DN16" i="4"/>
  <c r="DM16" i="4"/>
  <c r="DL16" i="4"/>
  <c r="DN39" i="4"/>
  <c r="DM39" i="4"/>
  <c r="DL39" i="4"/>
  <c r="DM81" i="4"/>
  <c r="DL81" i="4"/>
  <c r="DN81" i="4"/>
  <c r="DL45" i="4"/>
  <c r="DM45" i="4"/>
  <c r="DN45" i="4"/>
  <c r="DM32" i="4"/>
  <c r="DN32" i="4"/>
  <c r="DL32" i="4"/>
  <c r="DL41" i="4"/>
  <c r="DN41" i="4"/>
  <c r="DM41" i="4"/>
  <c r="DN13" i="4"/>
  <c r="DL13" i="4"/>
  <c r="DM13" i="4"/>
  <c r="DN64" i="4"/>
  <c r="DL64" i="4"/>
  <c r="DM64" i="4"/>
  <c r="Z1739" i="13"/>
  <c r="BC203" i="4"/>
  <c r="AY104" i="4"/>
  <c r="AH97" i="69"/>
  <c r="DM37" i="4"/>
  <c r="DL37" i="4"/>
  <c r="DN37" i="4"/>
  <c r="DN82" i="4"/>
  <c r="DL82" i="4"/>
  <c r="DM82" i="4"/>
  <c r="DM59" i="4"/>
  <c r="DL59" i="4"/>
  <c r="DN59" i="4"/>
  <c r="DM67" i="4"/>
  <c r="DN67" i="4"/>
  <c r="DL67" i="4"/>
  <c r="DM57" i="4"/>
  <c r="DN57" i="4"/>
  <c r="DL57" i="4"/>
  <c r="DM65" i="4"/>
  <c r="DL65" i="4"/>
  <c r="DN65" i="4"/>
  <c r="DL34" i="4"/>
  <c r="DN34" i="4"/>
  <c r="DM34" i="4"/>
  <c r="DL80" i="4"/>
  <c r="DM80" i="4"/>
  <c r="DN80" i="4"/>
  <c r="DN26" i="4"/>
  <c r="DM26" i="4"/>
  <c r="DL26" i="4"/>
  <c r="DM19" i="4"/>
  <c r="DL19" i="4"/>
  <c r="DN19" i="4"/>
  <c r="A1648" i="13"/>
  <c r="AX1648" i="13" s="1"/>
  <c r="AV1549" i="13"/>
  <c r="AV1648" i="13" s="1"/>
  <c r="AX1549" i="13"/>
  <c r="AV1737" i="13"/>
  <c r="AB1737" i="13"/>
  <c r="AL99" i="69"/>
  <c r="DL40" i="4"/>
  <c r="DN40" i="4"/>
  <c r="DM40" i="4"/>
  <c r="DM21" i="4"/>
  <c r="DN21" i="4"/>
  <c r="DL21" i="4"/>
  <c r="DN28" i="4"/>
  <c r="DL28" i="4"/>
  <c r="DM28" i="4"/>
  <c r="DN72" i="4"/>
  <c r="DL72" i="4"/>
  <c r="DM72" i="4"/>
  <c r="C1733" i="13"/>
  <c r="AY203" i="4"/>
  <c r="AB1768" i="13"/>
  <c r="AV1768" i="13"/>
  <c r="AX1768" i="13" s="1"/>
  <c r="AY103" i="4"/>
  <c r="BC202" i="4"/>
  <c r="Z1718" i="13"/>
  <c r="DN14" i="4"/>
  <c r="DM14" i="4"/>
  <c r="DL14" i="4"/>
  <c r="DN87" i="4"/>
  <c r="DL87" i="4"/>
  <c r="DM87" i="4"/>
  <c r="DM31" i="4"/>
  <c r="DL31" i="4"/>
  <c r="DN31" i="4"/>
  <c r="DM5" i="4"/>
  <c r="DN5" i="4"/>
  <c r="DL5" i="4"/>
  <c r="DM55" i="4"/>
  <c r="DL55" i="4"/>
  <c r="DN55" i="4"/>
  <c r="DM29" i="4"/>
  <c r="DL29" i="4"/>
  <c r="DN29" i="4"/>
  <c r="DL44" i="4"/>
  <c r="DM44" i="4"/>
  <c r="DN44" i="4"/>
  <c r="DL25" i="4"/>
  <c r="DM25" i="4"/>
  <c r="DN25" i="4"/>
  <c r="BK55" i="72"/>
  <c r="O55" i="69"/>
  <c r="AD55" i="72"/>
  <c r="M105" i="4" a="1"/>
  <c r="M105" i="4" s="1"/>
  <c r="BF55" i="69"/>
  <c r="O55" i="72"/>
  <c r="Z1744" i="13"/>
  <c r="AV1736" i="13"/>
  <c r="AB1736" i="13"/>
  <c r="AM3" i="1" a="1"/>
  <c r="AM3" i="1" s="1"/>
  <c r="AM101" i="1" s="1"/>
  <c r="BN104" i="4"/>
  <c r="Z1742" i="13" s="1"/>
  <c r="DM47" i="4"/>
  <c r="DN47" i="4"/>
  <c r="DL47" i="4"/>
  <c r="DM7" i="4"/>
  <c r="DL7" i="4"/>
  <c r="DN7" i="4"/>
  <c r="DN91" i="4"/>
  <c r="DM91" i="4"/>
  <c r="DL91" i="4"/>
  <c r="DN9" i="4"/>
  <c r="DL9" i="4"/>
  <c r="DM9" i="4"/>
  <c r="DL89" i="4"/>
  <c r="DN89" i="4"/>
  <c r="DM89" i="4"/>
  <c r="DN10" i="4"/>
  <c r="DL10" i="4"/>
  <c r="DM10" i="4"/>
  <c r="Z1757" i="13"/>
  <c r="Z1723" i="13"/>
  <c r="AB1715" i="13"/>
  <c r="AV1715" i="13"/>
  <c r="AV1719" i="13"/>
  <c r="Z1728" i="13"/>
  <c r="Z1761" i="13"/>
  <c r="AB1719" i="13"/>
  <c r="DN78" i="4"/>
  <c r="DL78" i="4"/>
  <c r="DM78" i="4"/>
  <c r="DL27" i="4"/>
  <c r="DN27" i="4"/>
  <c r="DM27" i="4"/>
  <c r="DN79" i="4"/>
  <c r="DM79" i="4"/>
  <c r="DL79" i="4"/>
  <c r="DM53" i="4"/>
  <c r="DN53" i="4"/>
  <c r="DL53" i="4"/>
  <c r="DL68" i="4"/>
  <c r="DM68" i="4"/>
  <c r="DN68" i="4"/>
  <c r="DL6" i="4"/>
  <c r="DN6" i="4"/>
  <c r="DM6" i="4"/>
  <c r="DL50" i="4"/>
  <c r="DM50" i="4"/>
  <c r="DN50" i="4"/>
  <c r="DL70" i="4"/>
  <c r="DM70" i="4"/>
  <c r="DN70" i="4"/>
  <c r="Z1734" i="13"/>
  <c r="Z1755" i="13" s="1"/>
  <c r="BA203" i="4"/>
  <c r="BE203" i="4" s="1"/>
  <c r="T62" i="4"/>
  <c r="T97" i="4" s="1"/>
  <c r="Z1654" i="13"/>
  <c r="S62" i="4"/>
  <c r="S97" i="4" s="1"/>
  <c r="DN15" i="4"/>
  <c r="DL15" i="4"/>
  <c r="DM15" i="4"/>
  <c r="DM85" i="4"/>
  <c r="DL85" i="4"/>
  <c r="DN85" i="4"/>
  <c r="DL83" i="4"/>
  <c r="DM83" i="4"/>
  <c r="DN83" i="4"/>
  <c r="AB1740" i="13"/>
  <c r="AV1740" i="13"/>
  <c r="Z1749" i="13"/>
  <c r="AV1713" i="13"/>
  <c r="AB1713" i="13"/>
  <c r="DN76" i="4"/>
  <c r="DL76" i="4"/>
  <c r="DM76" i="4"/>
  <c r="DM42" i="4"/>
  <c r="DL42" i="4"/>
  <c r="DN42" i="4"/>
  <c r="DN73" i="4"/>
  <c r="DM73" i="4"/>
  <c r="DL73" i="4"/>
  <c r="DN69" i="4"/>
  <c r="DL69" i="4"/>
  <c r="DM69" i="4"/>
  <c r="DN11" i="4"/>
  <c r="DM11" i="4"/>
  <c r="DL11" i="4"/>
  <c r="DN8" i="4"/>
  <c r="DM8" i="4"/>
  <c r="DL8" i="4"/>
  <c r="DL3" i="4"/>
  <c r="DM3" i="4"/>
  <c r="DN3" i="4"/>
  <c r="Z1733" i="13"/>
  <c r="BL104" i="4"/>
  <c r="BH203" i="4"/>
  <c r="AB1773" i="13"/>
  <c r="AV1773" i="13"/>
  <c r="BB1754" i="13"/>
  <c r="DM61" i="4"/>
  <c r="DL61" i="4"/>
  <c r="DN61" i="4"/>
  <c r="DM54" i="4"/>
  <c r="DN54" i="4"/>
  <c r="DL54" i="4"/>
  <c r="DL63" i="4"/>
  <c r="DN63" i="4"/>
  <c r="DM63" i="4"/>
  <c r="DN56" i="4"/>
  <c r="DM56" i="4"/>
  <c r="DL56" i="4"/>
  <c r="DL46" i="4"/>
  <c r="DN46" i="4"/>
  <c r="DM46" i="4"/>
  <c r="DN92" i="4"/>
  <c r="DM92" i="4"/>
  <c r="DL92" i="4"/>
  <c r="DN93" i="4"/>
  <c r="DL93" i="4"/>
  <c r="DM93" i="4"/>
  <c r="DN52" i="4"/>
  <c r="DL52" i="4"/>
  <c r="DM52" i="4"/>
  <c r="AR99" i="69"/>
  <c r="C1712" i="13"/>
  <c r="AY202" i="4"/>
  <c r="AB1724" i="13"/>
  <c r="AV1724" i="13"/>
  <c r="AO3" i="1" a="1"/>
  <c r="AO3" i="1" s="1"/>
  <c r="AO101" i="1" s="1"/>
  <c r="DM22" i="4"/>
  <c r="DN22" i="4"/>
  <c r="DL22" i="4"/>
  <c r="BH202" i="4"/>
  <c r="BL103" i="4"/>
  <c r="Z1712" i="13"/>
  <c r="AV1714" i="13"/>
  <c r="AB1714" i="13"/>
  <c r="Z1756" i="13"/>
  <c r="AP55" i="72" a="1"/>
  <c r="AP55" i="72" s="1"/>
  <c r="AG55" i="72" a="1"/>
  <c r="AG55" i="72" s="1"/>
  <c r="AG97" i="72" s="1"/>
  <c r="AZ55" i="72" a="1"/>
  <c r="AZ55" i="72" s="1"/>
  <c r="AZ97" i="72" s="1"/>
  <c r="AO55" i="72" a="1"/>
  <c r="AO55" i="72" s="1"/>
  <c r="BA55" i="72" a="1"/>
  <c r="BA55" i="72" s="1"/>
  <c r="AV55" i="72" a="1"/>
  <c r="AV55" i="72" s="1"/>
  <c r="AF55" i="72" a="1"/>
  <c r="AF55" i="72" s="1"/>
  <c r="AU55" i="72" a="1"/>
  <c r="AU55" i="72" s="1"/>
  <c r="AU97" i="72" s="1"/>
  <c r="AL55" i="72" a="1"/>
  <c r="AL55" i="72" s="1"/>
  <c r="AQ55" i="72" a="1"/>
  <c r="AQ55" i="72" s="1"/>
  <c r="AQ97" i="72" s="1"/>
  <c r="AW55" i="72" a="1"/>
  <c r="AW55" i="72" s="1"/>
  <c r="AX99" i="72" s="1"/>
  <c r="AX55" i="72" a="1"/>
  <c r="AX55" i="72" s="1"/>
  <c r="AU97" i="69"/>
  <c r="BF108" i="4"/>
  <c r="DL20" i="4"/>
  <c r="DN20" i="4"/>
  <c r="DM20" i="4"/>
  <c r="AB1738" i="13"/>
  <c r="AV1738" i="13"/>
  <c r="BM104" i="4"/>
  <c r="Z1741" i="13" s="1"/>
  <c r="BE55" i="4" a="1"/>
  <c r="BE55" i="4" s="1"/>
  <c r="BW103" i="4"/>
  <c r="BW104" i="4" s="1"/>
  <c r="BM97" i="4"/>
  <c r="Z1716" i="13"/>
  <c r="BN103" i="4"/>
  <c r="AT55" i="72" a="1"/>
  <c r="AT55" i="72" s="1"/>
  <c r="AZ97" i="69"/>
  <c r="DN51" i="4"/>
  <c r="DM51" i="4"/>
  <c r="DL51" i="4"/>
  <c r="DM66" i="4"/>
  <c r="DL66" i="4"/>
  <c r="DN66" i="4"/>
  <c r="DL88" i="4"/>
  <c r="DN88" i="4"/>
  <c r="DM88" i="4"/>
  <c r="DN77" i="4"/>
  <c r="DL77" i="4"/>
  <c r="DM77" i="4"/>
  <c r="H40" i="15"/>
  <c r="I40" i="15"/>
  <c r="Z1745" i="13"/>
  <c r="Z1766" i="13" s="1"/>
  <c r="BR105" i="4"/>
  <c r="DM30" i="4"/>
  <c r="DN30" i="4"/>
  <c r="DL30" i="4"/>
  <c r="DL74" i="4"/>
  <c r="DM74" i="4"/>
  <c r="DN74" i="4"/>
  <c r="DM49" i="4"/>
  <c r="DL49" i="4"/>
  <c r="DN49" i="4"/>
  <c r="DN58" i="4"/>
  <c r="DL58" i="4"/>
  <c r="DM58" i="4"/>
  <c r="DN96" i="4"/>
  <c r="DL96" i="4"/>
  <c r="DM96" i="4"/>
  <c r="DN86" i="4"/>
  <c r="DM86" i="4"/>
  <c r="DL86" i="4"/>
  <c r="DN33" i="4"/>
  <c r="DM33" i="4"/>
  <c r="DL33" i="4"/>
  <c r="DN35" i="4"/>
  <c r="DM35" i="4"/>
  <c r="DL35" i="4"/>
  <c r="AB1735" i="13"/>
  <c r="AV1735" i="13"/>
  <c r="DJ95" i="4" l="1"/>
  <c r="DJ89" i="4"/>
  <c r="DJ50" i="4"/>
  <c r="DJ14" i="4"/>
  <c r="DJ84" i="4"/>
  <c r="DJ51" i="4"/>
  <c r="DJ16" i="4"/>
  <c r="DJ15" i="4"/>
  <c r="DJ71" i="4"/>
  <c r="DJ94" i="4"/>
  <c r="DJ45" i="4"/>
  <c r="DJ4" i="4"/>
  <c r="DJ19" i="4"/>
  <c r="DJ57" i="4"/>
  <c r="DJ49" i="4"/>
  <c r="DJ20" i="4"/>
  <c r="DJ6" i="4"/>
  <c r="DJ27" i="4"/>
  <c r="DJ35" i="4"/>
  <c r="DJ58" i="4"/>
  <c r="DJ22" i="4"/>
  <c r="DJ63" i="4"/>
  <c r="DJ40" i="4"/>
  <c r="DJ88" i="4"/>
  <c r="DJ32" i="4"/>
  <c r="DJ61" i="4"/>
  <c r="DJ42" i="4"/>
  <c r="DJ30" i="4"/>
  <c r="DJ66" i="4"/>
  <c r="DJ5" i="4"/>
  <c r="DJ65" i="4"/>
  <c r="AN102" i="72"/>
  <c r="AI100" i="69"/>
  <c r="DJ47" i="4"/>
  <c r="DJ8" i="4"/>
  <c r="DJ85" i="4"/>
  <c r="BC204" i="4"/>
  <c r="BL105" i="4"/>
  <c r="DJ81" i="4"/>
  <c r="DJ36" i="4"/>
  <c r="DJ37" i="4"/>
  <c r="DJ13" i="4"/>
  <c r="DJ23" i="4"/>
  <c r="DJ3" i="4"/>
  <c r="DJ7" i="4"/>
  <c r="DJ80" i="4"/>
  <c r="DJ62" i="4"/>
  <c r="DJ74" i="4"/>
  <c r="DJ10" i="4"/>
  <c r="DJ55" i="4"/>
  <c r="DJ72" i="4"/>
  <c r="DJ24" i="4"/>
  <c r="BE202" i="4"/>
  <c r="BE204" i="4" s="1"/>
  <c r="AV1749" i="13"/>
  <c r="AB1749" i="13"/>
  <c r="DJ79" i="4"/>
  <c r="DJ33" i="4"/>
  <c r="AV1766" i="13"/>
  <c r="AX1766" i="13" s="1"/>
  <c r="AX1770" i="13" s="1"/>
  <c r="AB1766" i="13"/>
  <c r="DJ54" i="4"/>
  <c r="BA204" i="4"/>
  <c r="AB1723" i="13"/>
  <c r="AV1723" i="13"/>
  <c r="AB1744" i="13"/>
  <c r="AV1744" i="13"/>
  <c r="AZ203" i="4"/>
  <c r="BI203" i="4" s="1"/>
  <c r="BB203" i="4"/>
  <c r="DJ38" i="4"/>
  <c r="DJ12" i="4"/>
  <c r="BA97" i="72"/>
  <c r="BC98" i="72"/>
  <c r="DJ73" i="4"/>
  <c r="AB1757" i="13"/>
  <c r="C1757" i="13"/>
  <c r="Z1765" i="13"/>
  <c r="AV1757" i="13"/>
  <c r="DJ91" i="4"/>
  <c r="DJ29" i="4"/>
  <c r="DJ26" i="4"/>
  <c r="DJ41" i="4"/>
  <c r="DJ93" i="4"/>
  <c r="Z1750" i="13"/>
  <c r="AB1733" i="13"/>
  <c r="AV1733" i="13"/>
  <c r="DJ69" i="4"/>
  <c r="AV1756" i="13"/>
  <c r="C1756" i="13"/>
  <c r="AB1756" i="13"/>
  <c r="DJ86" i="4"/>
  <c r="BB202" i="4"/>
  <c r="AZ202" i="4"/>
  <c r="AY204" i="4"/>
  <c r="DJ83" i="4"/>
  <c r="DJ39" i="4"/>
  <c r="DJ90" i="4"/>
  <c r="DJ18" i="4"/>
  <c r="DJ77" i="4"/>
  <c r="BN105" i="4"/>
  <c r="Z1721" i="13"/>
  <c r="AV1716" i="13"/>
  <c r="AB1716" i="13"/>
  <c r="Z1758" i="13"/>
  <c r="DJ92" i="4"/>
  <c r="DJ46" i="4"/>
  <c r="DJ68" i="4"/>
  <c r="DJ87" i="4"/>
  <c r="DJ67" i="4"/>
  <c r="DJ17" i="4"/>
  <c r="AV1741" i="13"/>
  <c r="AB1741" i="13"/>
  <c r="AV1734" i="13"/>
  <c r="AB1734" i="13"/>
  <c r="DJ78" i="4"/>
  <c r="DJ59" i="4"/>
  <c r="AB1739" i="13"/>
  <c r="AV1739" i="13"/>
  <c r="Z1743" i="13"/>
  <c r="Z1762" i="13"/>
  <c r="BH204" i="4"/>
  <c r="DJ34" i="4"/>
  <c r="BE97" i="4"/>
  <c r="AZ99" i="4" s="1"/>
  <c r="BX103" i="4"/>
  <c r="BX104" i="4" s="1"/>
  <c r="BY103" i="4"/>
  <c r="BY104" i="4" s="1"/>
  <c r="AL97" i="72"/>
  <c r="AL101" i="72"/>
  <c r="Z1754" i="13"/>
  <c r="Z1775" i="13" s="1"/>
  <c r="AB1712" i="13"/>
  <c r="Z1729" i="13"/>
  <c r="AV1712" i="13"/>
  <c r="DJ96" i="4"/>
  <c r="DJ70" i="4"/>
  <c r="AV1745" i="13"/>
  <c r="AB1745" i="13"/>
  <c r="DJ52" i="4"/>
  <c r="DJ56" i="4"/>
  <c r="DJ11" i="4"/>
  <c r="DJ76" i="4"/>
  <c r="DJ53" i="4"/>
  <c r="AB1761" i="13"/>
  <c r="C1761" i="13"/>
  <c r="AV1761" i="13"/>
  <c r="Z1770" i="13"/>
  <c r="DJ25" i="4"/>
  <c r="Z1722" i="13"/>
  <c r="AB1718" i="13"/>
  <c r="Z1760" i="13"/>
  <c r="AV1718" i="13"/>
  <c r="DJ28" i="4"/>
  <c r="AV1755" i="13"/>
  <c r="AB1755" i="13"/>
  <c r="AV1728" i="13"/>
  <c r="AB1728" i="13"/>
  <c r="AV1742" i="13"/>
  <c r="AB1742" i="13"/>
  <c r="DJ64" i="4"/>
  <c r="DJ43" i="4"/>
  <c r="DJ75" i="4"/>
  <c r="DJ21" i="4"/>
  <c r="DJ60" i="4"/>
  <c r="AR99" i="72"/>
  <c r="DJ9" i="4"/>
  <c r="DJ44" i="4"/>
  <c r="DJ31" i="4"/>
  <c r="DJ82" i="4"/>
  <c r="AV1759" i="13"/>
  <c r="C1759" i="13"/>
  <c r="AB1759" i="13"/>
  <c r="DJ48" i="4"/>
  <c r="BB98" i="72"/>
  <c r="AV1775" i="13" l="1"/>
  <c r="AB1775" i="13"/>
  <c r="BF202" i="4"/>
  <c r="BF204" i="4" s="1"/>
  <c r="AZ204" i="4"/>
  <c r="BI202" i="4"/>
  <c r="BI204" i="4" s="1"/>
  <c r="AV1721" i="13"/>
  <c r="Z1763" i="13"/>
  <c r="AB1721" i="13"/>
  <c r="AB1765" i="13"/>
  <c r="AV1765" i="13"/>
  <c r="AB1722" i="13"/>
  <c r="AV1722" i="13"/>
  <c r="Z1732" i="13"/>
  <c r="AB1729" i="13"/>
  <c r="AV1729" i="13"/>
  <c r="AV1750" i="13"/>
  <c r="AB1750" i="13"/>
  <c r="Z1753" i="13"/>
  <c r="AB1743" i="13"/>
  <c r="AV1743" i="13"/>
  <c r="E1753" i="13"/>
  <c r="Z1771" i="13"/>
  <c r="AB1754" i="13"/>
  <c r="E1754" i="13"/>
  <c r="AV1754" i="13"/>
  <c r="AZ1754" i="13"/>
  <c r="BC1754" i="13" s="1"/>
  <c r="AW1754" i="13"/>
  <c r="BO203" i="4"/>
  <c r="BD203" i="4"/>
  <c r="BL203" i="4" s="1"/>
  <c r="AV1770" i="13"/>
  <c r="AB1770" i="13"/>
  <c r="AB1762" i="13"/>
  <c r="C1762" i="13"/>
  <c r="AV1762" i="13"/>
  <c r="AV1758" i="13"/>
  <c r="AB1758" i="13"/>
  <c r="BB204" i="4"/>
  <c r="BO204" i="4" s="1"/>
  <c r="BD202" i="4"/>
  <c r="BO202" i="4"/>
  <c r="BJ203" i="4"/>
  <c r="Z1764" i="13"/>
  <c r="AB1760" i="13"/>
  <c r="AV1760" i="13"/>
  <c r="BJ202" i="4" l="1"/>
  <c r="BJ204" i="4" s="1"/>
  <c r="BD204" i="4"/>
  <c r="BL204" i="4" s="1"/>
  <c r="BL202" i="4"/>
  <c r="BN203" i="4"/>
  <c r="AV1771" i="13"/>
  <c r="AB1771" i="13"/>
  <c r="BN202" i="4"/>
  <c r="AV1763" i="13"/>
  <c r="AB1763" i="13"/>
  <c r="BA1754" i="13"/>
  <c r="AV1764" i="13"/>
  <c r="Z1774" i="13"/>
  <c r="AB1764"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Q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U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K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L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O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futureMetadata>
  <cellMetadata count="1">
    <bk>
      <rc t="1" v="0"/>
    </bk>
  </cellMetadata>
  <valueMetadata count="42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valueMetadata>
</metadata>
</file>

<file path=xl/sharedStrings.xml><?xml version="1.0" encoding="utf-8"?>
<sst xmlns="http://schemas.openxmlformats.org/spreadsheetml/2006/main" count="6063" uniqueCount="2783">
  <si>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</si>
  <si>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</si>
  <si>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</si>
  <si>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</si>
  <si>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</si>
  <si>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</si>
  <si>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</si>
  <si>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</si>
  <si>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</si>
  <si>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</si>
  <si>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</si>
  <si>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</si>
  <si>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</si>
  <si>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</si>
  <si>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</si>
  <si>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</si>
  <si>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</si>
  <si>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</si>
  <si>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</si>
  <si>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</si>
  <si>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</si>
  <si>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</si>
  <si>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</si>
  <si>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</si>
  <si>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</si>
  <si>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</si>
  <si>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</si>
  <si>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</si>
  <si>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</si>
  <si>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</si>
  <si>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</si>
  <si>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</si>
  <si>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</si>
  <si>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</si>
  <si>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</si>
  <si>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</si>
  <si>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</si>
  <si>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</si>
  <si>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</si>
  <si>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</si>
  <si>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</si>
  <si>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</si>
  <si>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</si>
  <si>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</si>
  <si>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</si>
  <si>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</si>
  <si>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</si>
  <si>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</si>
  <si>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</si>
  <si>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</si>
  <si>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</si>
  <si>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</si>
  <si>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</si>
  <si>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</si>
  <si>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</si>
  <si>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</si>
  <si>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</si>
  <si>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</si>
  <si>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</si>
  <si>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</si>
  <si>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</si>
  <si>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</si>
  <si>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</si>
  <si>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</si>
  <si>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</si>
  <si>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</si>
  <si>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</si>
  <si>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</si>
  <si>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</si>
  <si>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</si>
  <si>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</si>
  <si>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</si>
  <si>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</si>
  <si>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</si>
  <si>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</si>
  <si>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</si>
  <si>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</si>
  <si>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</si>
  <si>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</si>
  <si>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</si>
  <si>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</si>
  <si>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</si>
  <si>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</si>
  <si>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</si>
  <si>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</si>
  <si>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</si>
  <si>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</si>
  <si>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</si>
  <si>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</si>
  <si>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</si>
  <si>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</si>
  <si>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</si>
  <si>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</si>
  <si>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</si>
  <si>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</si>
  <si>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</si>
  <si>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</si>
  <si>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</si>
  <si>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</si>
  <si>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</si>
  <si>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</si>
  <si>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</si>
  <si>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</si>
  <si>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</si>
  <si>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</si>
  <si>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</si>
  <si>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</si>
  <si>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</si>
  <si>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</si>
  <si>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</si>
  <si>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</si>
  <si>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</si>
  <si>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</si>
  <si>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</si>
  <si>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</si>
  <si>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</si>
  <si>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</si>
  <si>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</si>
  <si>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</si>
  <si>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</si>
  <si>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</si>
  <si>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</si>
  <si>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</si>
  <si>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</si>
  <si>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</si>
  <si>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</si>
  <si>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</si>
  <si>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</si>
  <si>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</si>
  <si>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</si>
  <si>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</si>
  <si>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</si>
  <si>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</si>
  <si>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</si>
  <si>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</si>
  <si>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</si>
  <si>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</si>
  <si>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</si>
  <si>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</si>
  <si>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</si>
  <si>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</si>
  <si>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</si>
  <si>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</si>
  <si>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</si>
  <si>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</si>
  <si>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</si>
  <si>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</si>
  <si>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</si>
  <si>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</si>
  <si>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</si>
  <si>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</si>
  <si>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</si>
  <si>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</si>
  <si>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</si>
  <si>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</si>
  <si>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</si>
  <si>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</si>
  <si>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</si>
  <si>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</si>
  <si>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</si>
  <si>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</si>
  <si>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</si>
  <si>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</si>
  <si>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</si>
  <si>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</si>
  <si>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</si>
  <si>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</si>
  <si>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</si>
  <si>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</si>
  <si>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</si>
  <si>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</si>
  <si>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</si>
  <si>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</si>
  <si>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</si>
  <si>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</si>
  <si>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</si>
  <si>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</si>
  <si>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</si>
  <si>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</si>
  <si>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</si>
  <si>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</si>
  <si>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</si>
  <si>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</si>
  <si>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</si>
  <si>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</si>
  <si>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</si>
  <si>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</si>
  <si>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</si>
  <si>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</si>
  <si>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</si>
  <si>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</si>
  <si>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</si>
  <si>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</si>
  <si>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</si>
  <si>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</si>
  <si>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</si>
  <si>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</si>
  <si>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</si>
  <si>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</si>
  <si>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</si>
  <si>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</si>
  <si>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</si>
  <si>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</si>
  <si>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</si>
  <si>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</si>
  <si>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</si>
  <si>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</si>
  <si>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</si>
  <si>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</si>
  <si>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</si>
  <si>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</si>
  <si>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</si>
  <si>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</si>
  <si>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</si>
  <si>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</si>
  <si>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</si>
  <si>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</si>
  <si>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</si>
  <si>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</si>
  <si>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</si>
  <si>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</si>
  <si>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</si>
  <si>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</si>
  <si>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</si>
  <si>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</si>
  <si>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</si>
  <si>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</si>
  <si>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</si>
  <si>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</si>
  <si>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</si>
  <si>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</si>
  <si>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</si>
  <si>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</si>
  <si>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</si>
  <si>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</si>
  <si>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</si>
  <si>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</si>
  <si>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</si>
  <si>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</si>
  <si>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</si>
  <si>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</si>
  <si>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</si>
  <si>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</si>
  <si>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</si>
  <si>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</si>
  <si>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</si>
  <si>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</si>
  <si>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</si>
  <si>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</si>
  <si>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</si>
  <si>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</si>
  <si>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</si>
  <si>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</si>
  <si>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</si>
  <si>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</si>
  <si>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</si>
  <si>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</si>
  <si>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</si>
  <si>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</si>
  <si>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</si>
  <si>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</si>
  <si>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</si>
  <si>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</si>
  <si>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</si>
  <si>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</si>
  <si>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</si>
  <si>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</si>
  <si>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</si>
  <si>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</si>
  <si>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</si>
  <si>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</si>
  <si>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</si>
  <si>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</si>
  <si>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</si>
  <si>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</si>
  <si>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</si>
  <si>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</si>
  <si>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</si>
  <si>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</si>
  <si>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</si>
  <si>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</si>
  <si>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</si>
  <si>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</si>
  <si>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</si>
  <si>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</si>
  <si>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</si>
  <si>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</si>
  <si>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</si>
  <si>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</si>
  <si>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</si>
  <si>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</si>
  <si>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</si>
  <si>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</si>
  <si>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</si>
  <si>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</si>
  <si>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</si>
  <si>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</si>
  <si>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</si>
  <si>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</si>
  <si>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</si>
  <si>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</si>
  <si>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</si>
  <si>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</si>
  <si>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</si>
  <si>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</si>
  <si>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</si>
  <si>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</si>
  <si>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</si>
  <si>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</si>
  <si>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</si>
  <si>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</si>
  <si>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</si>
  <si>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</si>
  <si>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</si>
  <si>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</si>
  <si>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</si>
  <si>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</si>
  <si>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</si>
  <si>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</si>
  <si>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</si>
  <si>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</si>
  <si>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</si>
  <si>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</si>
  <si>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</si>
  <si>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</si>
  <si>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</si>
  <si>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</si>
  <si>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</si>
  <si>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</si>
  <si>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</si>
  <si>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</si>
  <si>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</si>
  <si>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</si>
  <si>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</si>
  <si>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</si>
  <si>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</si>
  <si>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</si>
  <si>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</si>
  <si>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</si>
  <si>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</si>
  <si>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</si>
  <si>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</si>
  <si>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</si>
  <si>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</si>
  <si>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</si>
  <si>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</si>
  <si>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</si>
  <si>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</si>
  <si>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</si>
  <si>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</si>
  <si>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</si>
  <si>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</si>
  <si>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</si>
  <si>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</si>
  <si>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</si>
  <si>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</si>
  <si>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</si>
  <si>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</si>
  <si>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</si>
  <si>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</si>
  <si>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</si>
  <si>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</si>
  <si>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</si>
  <si>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</si>
  <si>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</si>
  <si>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</si>
  <si>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</si>
  <si>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</si>
  <si>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</si>
  <si>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</si>
  <si>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</si>
  <si>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</si>
  <si>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</si>
  <si>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</si>
  <si>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</si>
  <si>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</si>
  <si>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</si>
  <si>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</si>
  <si>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</si>
  <si>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</si>
  <si>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</si>
  <si>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</si>
  <si>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</si>
  <si>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</si>
  <si>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</si>
  <si>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</si>
  <si>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</si>
  <si>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</si>
  <si>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</si>
  <si>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</si>
  <si>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</si>
  <si>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</si>
  <si>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</si>
  <si>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</si>
  <si>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</si>
  <si>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</si>
  <si>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</si>
  <si>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</si>
  <si>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</si>
  <si>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</si>
  <si>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</si>
  <si>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</si>
  <si>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</si>
  <si>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</si>
  <si>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</si>
  <si>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</si>
  <si>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</si>
  <si>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</si>
  <si>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</si>
  <si>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</si>
  <si>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</si>
  <si>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</si>
  <si>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</si>
  <si>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</si>
  <si>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</si>
  <si>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</si>
  <si>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</si>
  <si>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</si>
  <si>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</si>
  <si>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</si>
  <si>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</si>
  <si>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</si>
  <si>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</si>
  <si>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</si>
  <si>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</si>
  <si>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</si>
  <si>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</si>
  <si>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</si>
  <si>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</si>
  <si>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</si>
  <si>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</si>
  <si>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</si>
  <si>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</si>
  <si>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</si>
  <si>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</si>
  <si>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</si>
  <si>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</si>
  <si>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</si>
  <si>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</si>
  <si>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</si>
  <si>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</si>
  <si>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</si>
  <si>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</si>
  <si>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</si>
  <si>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</si>
  <si>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</si>
  <si>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</si>
  <si>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</si>
  <si>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</si>
  <si>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</si>
  <si>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</si>
  <si>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</si>
  <si>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</si>
  <si>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</si>
  <si>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</si>
  <si>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</si>
  <si>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</si>
  <si>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</si>
  <si>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</si>
  <si>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</si>
  <si>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</si>
  <si>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</si>
  <si>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</si>
  <si>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</si>
  <si>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</si>
  <si>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</si>
  <si>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</si>
  <si>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</si>
  <si>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</si>
  <si>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</si>
  <si>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</si>
  <si>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</si>
  <si>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</si>
  <si>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</si>
  <si>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</si>
  <si>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</si>
  <si>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</si>
  <si>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</si>
  <si>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</si>
  <si>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</si>
  <si>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</si>
  <si>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</si>
  <si>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</si>
  <si>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</si>
  <si>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</si>
  <si>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</si>
  <si>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</si>
  <si>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</si>
  <si>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</si>
  <si>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</si>
  <si>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</si>
  <si>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</si>
  <si>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</si>
  <si>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</si>
  <si>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</si>
  <si>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</si>
  <si>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</si>
  <si>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</si>
  <si>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</si>
  <si>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</si>
  <si>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</si>
  <si>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</si>
  <si>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</si>
  <si>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</si>
  <si>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</si>
  <si>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</si>
  <si>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</si>
  <si>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</si>
  <si>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</si>
  <si>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</si>
  <si>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</si>
  <si>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</si>
  <si>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</si>
  <si>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</si>
  <si>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</si>
  <si>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</si>
  <si>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</si>
  <si>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</si>
  <si>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</si>
  <si>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</si>
  <si>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</si>
  <si>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</si>
  <si>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</si>
  <si>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</si>
  <si>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</si>
  <si>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</si>
  <si>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</si>
  <si>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</si>
  <si>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</si>
  <si>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</si>
  <si>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</si>
  <si>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</si>
  <si>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</si>
  <si>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</si>
  <si>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</si>
  <si>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</si>
  <si>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</si>
  <si>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</si>
  <si>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</si>
  <si>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</si>
  <si>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</si>
  <si>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</si>
  <si>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</si>
  <si>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</si>
  <si>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</si>
  <si>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</si>
  <si>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</si>
  <si>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</si>
  <si>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</si>
  <si>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</si>
  <si>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</si>
  <si>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</si>
  <si>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</si>
  <si>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</si>
  <si>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</si>
  <si>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</si>
  <si>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</si>
  <si>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</si>
  <si>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</si>
  <si>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</si>
  <si>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</si>
  <si>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</si>
  <si>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</si>
  <si>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</si>
  <si>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</si>
  <si>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</si>
  <si>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</si>
  <si>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</si>
  <si>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</si>
  <si>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</si>
  <si>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</si>
  <si>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</si>
  <si>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</si>
  <si>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</si>
  <si>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</si>
  <si>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</si>
  <si>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</si>
  <si>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</si>
  <si>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</si>
  <si>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</si>
  <si>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</si>
  <si>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</si>
  <si>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</si>
  <si>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</si>
  <si>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</si>
  <si>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</si>
  <si>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</si>
  <si>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</si>
  <si>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</si>
  <si>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</si>
  <si>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</si>
  <si>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</si>
  <si>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</si>
  <si>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</si>
  <si>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</si>
  <si>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</si>
  <si>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</si>
  <si>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</si>
  <si>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</si>
  <si>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</si>
  <si>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</si>
  <si>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</si>
  <si>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</si>
  <si>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</si>
  <si>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</si>
  <si>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</si>
  <si>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</si>
  <si>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</si>
  <si>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</si>
  <si>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</si>
  <si>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</si>
  <si>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</si>
  <si>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</si>
  <si>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</si>
  <si>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</si>
  <si>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</si>
  <si>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</si>
  <si>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</si>
  <si>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</si>
  <si>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</si>
  <si>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</si>
  <si>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</si>
  <si>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</si>
  <si>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</si>
  <si>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</si>
  <si>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</si>
  <si>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</si>
  <si>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</si>
  <si>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</si>
  <si>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</si>
  <si>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</si>
  <si>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</si>
  <si>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</si>
  <si>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</si>
  <si>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</si>
  <si>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</si>
  <si>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</si>
  <si>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</si>
  <si>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</si>
  <si>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</si>
  <si>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</si>
  <si>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</si>
  <si>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</si>
  <si>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</si>
  <si>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</si>
  <si>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</si>
  <si>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</si>
  <si>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</si>
  <si>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</si>
  <si>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</si>
  <si>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</si>
  <si>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</si>
  <si>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</si>
  <si>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</si>
  <si>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</si>
  <si>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</si>
  <si>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</si>
  <si>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</si>
  <si>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</si>
  <si>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</si>
  <si>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</si>
  <si>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</si>
  <si>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</si>
  <si>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</si>
  <si>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</si>
  <si>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</si>
  <si>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</si>
  <si>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</si>
  <si>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</si>
  <si>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</si>
  <si>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</si>
  <si>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</si>
  <si>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</si>
  <si>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</si>
  <si>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</si>
  <si>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</si>
  <si>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</si>
  <si>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</si>
  <si>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</si>
  <si>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</si>
  <si>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</si>
  <si>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</si>
  <si>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</si>
  <si>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</si>
  <si>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</si>
  <si>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</si>
  <si>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</si>
  <si>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</si>
  <si>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</si>
  <si>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</si>
  <si>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</si>
  <si>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</si>
  <si>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</si>
  <si>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</si>
  <si>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</si>
  <si>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</si>
  <si>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</si>
  <si>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</si>
  <si>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</si>
  <si>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</si>
  <si>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</si>
  <si>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</si>
  <si>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</si>
  <si>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</si>
  <si>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</si>
  <si>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</si>
  <si>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</si>
  <si>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</si>
  <si>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</si>
  <si>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</si>
  <si>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</si>
  <si>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</si>
  <si>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</si>
  <si>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</si>
  <si>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</si>
  <si>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</si>
  <si>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</si>
  <si>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</si>
  <si>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</si>
  <si>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</si>
  <si>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</si>
  <si>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</si>
  <si>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</si>
  <si>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</si>
  <si>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</si>
  <si>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</si>
  <si>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</si>
  <si>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</si>
  <si>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</si>
  <si>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</si>
  <si>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</si>
  <si>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</si>
  <si>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</si>
  <si>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</si>
  <si>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</si>
  <si>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</si>
  <si>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</si>
  <si>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</si>
  <si>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</si>
  <si>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</si>
  <si>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</si>
  <si>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</si>
  <si>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</si>
  <si>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</si>
  <si>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</si>
  <si>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</si>
  <si>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</si>
  <si>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</si>
  <si>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</si>
  <si>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</si>
  <si>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</si>
  <si>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</si>
  <si>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</si>
  <si>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</si>
  <si>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</si>
  <si>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</si>
  <si>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</si>
  <si>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</si>
  <si>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</si>
  <si>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</si>
  <si>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</si>
  <si>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</si>
  <si>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</si>
  <si>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</si>
  <si>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</si>
  <si>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</si>
  <si>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</si>
  <si>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</si>
  <si>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</si>
  <si>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</si>
  <si>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</si>
  <si>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</si>
  <si>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</si>
  <si>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</si>
  <si>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</si>
  <si>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</si>
  <si>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</si>
  <si>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</si>
  <si>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</si>
  <si>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</si>
  <si>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</si>
  <si>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</si>
  <si>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</si>
  <si>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</si>
  <si>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</si>
  <si>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</si>
  <si>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</si>
  <si>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</si>
  <si>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</si>
  <si>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</si>
  <si>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</si>
  <si>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</si>
  <si>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</si>
  <si>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</si>
  <si>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</si>
  <si>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</si>
  <si>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</si>
  <si>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</si>
  <si>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</si>
  <si>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</si>
  <si>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</si>
  <si>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</si>
  <si>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</si>
  <si>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</si>
  <si>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</si>
  <si>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</si>
  <si>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</si>
  <si>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</si>
  <si>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</si>
  <si>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</si>
  <si>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</si>
  <si>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</si>
  <si>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</si>
  <si>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</si>
  <si>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</si>
  <si>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</si>
  <si>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</si>
  <si>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</si>
  <si>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</si>
  <si>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</si>
  <si>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</si>
  <si>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</si>
  <si>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</si>
  <si>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</si>
  <si>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</si>
  <si>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</si>
  <si>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</si>
  <si>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</si>
  <si>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</si>
  <si>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</si>
  <si>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</si>
  <si>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</si>
  <si>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</si>
  <si>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</si>
  <si>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</si>
  <si>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</si>
  <si>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</si>
  <si>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</si>
  <si>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</si>
  <si>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</si>
  <si>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</si>
  <si>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</si>
  <si>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</si>
  <si>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</si>
  <si>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</si>
  <si>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</si>
  <si>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</si>
  <si>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</si>
  <si>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</si>
  <si>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</si>
  <si>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</si>
  <si>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</si>
  <si>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</si>
  <si>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</si>
  <si>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</si>
  <si>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</si>
  <si>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</si>
  <si>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</si>
  <si>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</si>
  <si>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</si>
  <si>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</si>
  <si>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</si>
  <si>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</si>
  <si>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</si>
  <si>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</si>
  <si>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</si>
  <si>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</si>
  <si>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</si>
  <si>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</si>
  <si>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</si>
  <si>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</si>
  <si>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</si>
  <si>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</si>
  <si>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</si>
  <si>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</si>
  <si>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</si>
  <si>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</si>
  <si>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</si>
  <si>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</si>
  <si>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</si>
  <si>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</si>
  <si>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</si>
  <si>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</si>
  <si>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</si>
  <si>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</si>
  <si>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</si>
  <si>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</si>
  <si>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</si>
  <si>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</si>
  <si>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</si>
  <si>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</si>
  <si>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</si>
  <si>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</si>
  <si>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</si>
  <si>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</si>
  <si>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</si>
  <si>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</si>
  <si>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</si>
  <si>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</si>
  <si>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</si>
  <si>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</si>
  <si>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</si>
  <si>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</si>
  <si>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</si>
  <si>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</si>
  <si>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</si>
  <si>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</si>
  <si>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</si>
  <si>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</si>
  <si>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</si>
  <si>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</si>
  <si>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</si>
  <si>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</si>
  <si>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</si>
  <si>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</si>
  <si>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</si>
  <si>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</si>
  <si>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</si>
  <si>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</si>
  <si>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</si>
  <si>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</si>
  <si>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</si>
  <si>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</si>
  <si>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</si>
  <si>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</si>
  <si>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</si>
  <si>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</si>
  <si>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</si>
  <si>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</si>
  <si>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</si>
  <si>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</si>
  <si>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</si>
  <si>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</si>
  <si>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</si>
  <si>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</si>
  <si>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</si>
  <si>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</si>
  <si>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</si>
  <si>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</si>
  <si>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</si>
  <si>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</si>
  <si>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</si>
  <si>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</si>
  <si>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</si>
  <si>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</si>
  <si>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</si>
  <si>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</si>
  <si>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</si>
  <si>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</si>
  <si>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</si>
  <si>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</si>
  <si>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</si>
  <si>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</si>
  <si>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</si>
  <si>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</si>
  <si>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</si>
  <si>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</si>
  <si>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</si>
  <si>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</si>
  <si>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</si>
  <si>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</si>
  <si>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</si>
  <si>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</si>
  <si>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</si>
  <si>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</si>
  <si>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</si>
  <si>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</si>
  <si>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</si>
  <si>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</si>
  <si>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</si>
  <si>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</si>
  <si>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</si>
  <si>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</si>
  <si>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</si>
  <si>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</si>
  <si>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</si>
  <si>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</si>
  <si>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</si>
  <si>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</si>
  <si>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</si>
  <si>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</si>
  <si>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</si>
  <si>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</si>
  <si>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</si>
  <si>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</si>
  <si>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</si>
  <si>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</si>
  <si>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</si>
  <si>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</si>
  <si>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</si>
  <si>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</si>
  <si>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</si>
  <si>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</si>
  <si>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</si>
  <si>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</si>
  <si>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</si>
  <si>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</si>
  <si>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</si>
  <si>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</si>
  <si>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</si>
  <si>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</si>
  <si>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</si>
  <si>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</si>
  <si>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</si>
  <si>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</si>
  <si>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</si>
  <si>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</si>
  <si>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</si>
  <si>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</si>
  <si>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</si>
  <si>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</si>
  <si>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</si>
  <si>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</si>
  <si>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</si>
  <si>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</si>
  <si>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</si>
  <si>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</si>
  <si>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</si>
  <si>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</si>
  <si>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</si>
  <si>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</si>
  <si>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</si>
  <si>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</si>
  <si>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</si>
  <si>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</si>
  <si>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</si>
  <si>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</si>
  <si>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</si>
  <si>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</si>
  <si>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</si>
  <si>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</si>
  <si>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</si>
  <si>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</si>
  <si>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</si>
  <si>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</si>
  <si>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</si>
  <si>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</si>
  <si>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</si>
  <si>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</si>
  <si>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</si>
  <si>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</si>
  <si>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</si>
  <si>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</si>
  <si>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</si>
  <si>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</si>
  <si>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</si>
  <si>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</si>
  <si>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</si>
  <si>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</si>
  <si>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</si>
  <si>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</si>
  <si>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</si>
  <si>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</si>
  <si>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</si>
  <si>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</si>
  <si>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</si>
  <si>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</si>
  <si>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</si>
  <si>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</si>
  <si>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</si>
  <si>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</si>
  <si>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</si>
  <si>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</si>
  <si>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</si>
  <si>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</si>
  <si>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</si>
  <si>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</si>
  <si>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</si>
  <si>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</si>
  <si>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</si>
  <si>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</si>
  <si>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</si>
  <si>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</si>
  <si>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</si>
  <si>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</si>
  <si>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</si>
  <si>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</si>
  <si>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</si>
  <si>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</si>
  <si>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</si>
  <si>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</si>
  <si>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</si>
  <si>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</si>
  <si>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</si>
  <si>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</si>
  <si>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</si>
  <si>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</si>
  <si>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</si>
  <si>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</si>
  <si>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</si>
  <si>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</si>
  <si>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</si>
  <si>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</si>
  <si>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</si>
  <si>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</si>
  <si>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</si>
  <si>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</si>
  <si>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</si>
  <si>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</si>
  <si>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</si>
  <si>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</si>
  <si>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</si>
  <si>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</si>
  <si>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</si>
  <si>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</si>
  <si>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</si>
  <si>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</si>
  <si>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</si>
  <si>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</si>
  <si>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</si>
  <si>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</si>
  <si>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</si>
  <si>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</si>
  <si>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</si>
  <si>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</si>
  <si>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</si>
  <si>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</si>
  <si>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</si>
  <si>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</si>
  <si>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</si>
  <si>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</si>
  <si>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</si>
  <si>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</si>
  <si>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</si>
  <si>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</si>
  <si>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</si>
  <si>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</si>
  <si>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</si>
  <si>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</si>
  <si>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</si>
  <si>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</si>
  <si>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</si>
  <si>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</si>
  <si>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</si>
  <si>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</si>
  <si>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</si>
  <si>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</si>
  <si>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</si>
  <si>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</si>
  <si>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</si>
  <si>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</si>
  <si>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</si>
  <si>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</si>
  <si>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</si>
  <si>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</si>
  <si>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</si>
  <si>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</si>
  <si>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</si>
  <si>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</si>
  <si>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</si>
  <si>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</si>
  <si>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</si>
  <si>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</si>
  <si>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</si>
  <si>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</si>
  <si>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</si>
  <si>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</si>
  <si>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</si>
  <si>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</si>
  <si>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</si>
  <si>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</si>
  <si>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</si>
  <si>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</si>
  <si>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</si>
  <si>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</si>
  <si>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</si>
  <si>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</si>
  <si>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</si>
  <si>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</si>
  <si>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</si>
  <si>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</si>
  <si>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</si>
  <si>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</si>
  <si>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</si>
  <si>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</si>
  <si>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</si>
  <si>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</si>
  <si>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</si>
  <si>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</si>
  <si>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</si>
  <si>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</si>
  <si>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</si>
  <si>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</si>
  <si>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</si>
  <si>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</si>
  <si>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</si>
  <si>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</si>
  <si>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</si>
  <si>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</si>
  <si>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</si>
  <si>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</si>
  <si>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</si>
  <si>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</si>
  <si>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</si>
  <si>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</si>
  <si>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</si>
  <si>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</si>
  <si>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</si>
  <si>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</si>
  <si>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</si>
  <si>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</si>
  <si>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</si>
  <si>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</si>
  <si>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</si>
  <si>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</si>
  <si>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</si>
  <si>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</si>
  <si>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</si>
  <si>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</si>
  <si>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</si>
  <si>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</si>
  <si>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</si>
  <si>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</si>
  <si>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</si>
  <si>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</si>
  <si>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</si>
  <si>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</si>
  <si>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</si>
  <si>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</si>
  <si>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</si>
  <si>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</si>
  <si>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</si>
  <si>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</si>
  <si>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</si>
  <si>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</si>
  <si>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</si>
  <si>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</si>
  <si>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</si>
  <si>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</si>
  <si>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</si>
  <si>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</si>
  <si>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</si>
  <si>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</si>
  <si>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</si>
  <si>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</si>
  <si>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</si>
  <si>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</si>
  <si>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</si>
  <si>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</si>
  <si>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</si>
  <si>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</si>
  <si>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</si>
  <si>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</si>
  <si>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</si>
  <si>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</si>
  <si>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</si>
  <si>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</si>
  <si>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</si>
  <si>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</si>
  <si>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</si>
  <si>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</si>
  <si>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</si>
  <si>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</si>
  <si>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</si>
  <si>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</si>
  <si>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</si>
  <si>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</si>
  <si>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</si>
  <si>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</si>
  <si>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</si>
  <si>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</si>
  <si>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</si>
  <si>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</si>
  <si>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</si>
  <si>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</si>
  <si>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</si>
  <si>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</si>
  <si>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</si>
  <si>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</si>
  <si>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</si>
  <si>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</si>
  <si>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</si>
  <si>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</si>
  <si>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</si>
  <si>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</si>
  <si>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</si>
  <si>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</si>
  <si>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</si>
  <si>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</si>
  <si>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</si>
  <si>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</si>
  <si>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</si>
  <si>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</si>
  <si>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</si>
  <si>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</si>
  <si>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</si>
  <si>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</si>
  <si>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</si>
  <si>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</si>
  <si>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</si>
  <si>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</si>
  <si>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</si>
  <si>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</si>
  <si>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</si>
  <si>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</si>
  <si>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</si>
  <si>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</si>
  <si>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</si>
  <si>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</si>
  <si>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</si>
  <si>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</si>
  <si>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</si>
  <si>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</si>
  <si>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</si>
  <si>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</si>
  <si>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</si>
  <si>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</si>
  <si>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</si>
  <si>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</si>
  <si>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</si>
  <si>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</si>
  <si>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</si>
  <si>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</si>
  <si>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</si>
  <si>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</si>
  <si>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</si>
  <si>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</si>
  <si>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</si>
  <si>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</si>
  <si>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</si>
  <si>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</si>
  <si>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</si>
  <si>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</si>
  <si>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</si>
  <si>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</si>
  <si>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</si>
  <si>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</si>
  <si>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</si>
  <si>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</si>
  <si>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</si>
  <si>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</si>
  <si>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</si>
  <si>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</si>
  <si>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</si>
  <si>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</si>
  <si>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</si>
  <si>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</si>
  <si>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</si>
  <si>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</si>
  <si>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</si>
  <si>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</si>
  <si>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</si>
  <si>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</si>
  <si>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</si>
  <si>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</si>
  <si>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</si>
  <si>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</si>
  <si>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</si>
  <si>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</si>
  <si>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</si>
  <si>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</si>
  <si>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</si>
  <si>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</si>
  <si>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</si>
  <si>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</si>
  <si>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</si>
  <si>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</si>
  <si>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</si>
  <si>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</si>
  <si>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</si>
  <si>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</si>
  <si>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</si>
  <si>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</si>
  <si>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</si>
  <si>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</si>
  <si>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</si>
  <si>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</si>
  <si>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</si>
  <si>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</si>
  <si>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</si>
  <si>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</si>
  <si>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</si>
  <si>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</si>
  <si>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</si>
  <si>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</si>
  <si>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</si>
  <si>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</si>
  <si>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</si>
  <si>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</si>
  <si>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</si>
  <si>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</si>
  <si>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</si>
  <si>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</si>
  <si>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</si>
  <si>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</si>
  <si>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</si>
  <si>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</si>
  <si>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</si>
  <si>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</si>
  <si>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</si>
  <si>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</si>
  <si>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</si>
  <si>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</si>
  <si>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</si>
  <si>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</si>
  <si>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</si>
  <si>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</si>
  <si>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</si>
  <si>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</si>
  <si>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</si>
  <si>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</si>
  <si>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</si>
  <si>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</si>
  <si>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</si>
  <si>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</si>
  <si>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</si>
  <si>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</si>
  <si>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</si>
  <si>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</si>
  <si>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</si>
  <si>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</si>
  <si>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</si>
  <si>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</si>
  <si>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</si>
  <si>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</si>
  <si>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</si>
  <si>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</si>
  <si>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</si>
  <si>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</si>
  <si>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</si>
  <si>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</si>
  <si>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</si>
  <si>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</si>
  <si>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</si>
  <si>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</si>
  <si>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</si>
  <si>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</si>
  <si>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</si>
  <si>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</si>
  <si>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</si>
  <si>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</si>
  <si>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</si>
  <si>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</si>
  <si>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</si>
  <si>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</si>
  <si>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</si>
  <si>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</si>
  <si>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</si>
  <si>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</si>
  <si>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</si>
  <si>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</si>
  <si>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</si>
  <si>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</si>
  <si>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</si>
  <si>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</si>
  <si>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</si>
  <si>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</si>
  <si>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</si>
  <si>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</si>
  <si>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</si>
  <si>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</si>
  <si>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</si>
  <si>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</si>
  <si>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</si>
  <si>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</si>
  <si>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</si>
  <si>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</si>
  <si>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</si>
  <si>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</si>
  <si>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</si>
  <si>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</si>
  <si>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</si>
  <si>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</si>
  <si>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</si>
  <si>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</si>
  <si>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</si>
  <si>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</si>
  <si>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</si>
  <si>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</si>
  <si>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</si>
  <si>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</si>
  <si>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</si>
  <si>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</si>
  <si>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</si>
  <si>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</si>
  <si>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</si>
  <si>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</si>
  <si>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</si>
  <si>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</si>
  <si>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</si>
  <si>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</si>
  <si>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</si>
  <si>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</si>
  <si>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</si>
  <si>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</si>
  <si>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</si>
  <si>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</si>
  <si>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</si>
  <si>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</si>
  <si>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</si>
  <si>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</si>
  <si>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</si>
  <si>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</si>
  <si>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</si>
  <si>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</si>
  <si>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</si>
  <si>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</si>
  <si>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</si>
  <si>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</si>
  <si>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</si>
  <si>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</si>
  <si>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</si>
  <si>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</si>
  <si>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</si>
  <si>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</si>
  <si>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</si>
  <si>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</si>
  <si>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</si>
  <si>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</si>
  <si>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</si>
  <si>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</si>
  <si>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</si>
  <si>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</si>
  <si>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</si>
  <si>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</si>
  <si>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</si>
  <si>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</si>
  <si>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</si>
  <si>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</si>
  <si>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</si>
  <si>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</si>
  <si>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</si>
  <si>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</si>
  <si>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</si>
  <si>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</si>
  <si>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</si>
  <si>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</si>
  <si>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</si>
  <si>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</si>
  <si>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</si>
  <si>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</si>
  <si>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</si>
  <si>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</si>
  <si>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</si>
  <si>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</si>
  <si>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</si>
  <si>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</si>
  <si>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</si>
  <si>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</si>
  <si>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</si>
  <si>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</si>
  <si>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</si>
  <si>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</si>
  <si>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</si>
  <si>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</si>
  <si>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</si>
  <si>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</si>
  <si>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</si>
  <si>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</si>
  <si>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</si>
  <si>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</si>
  <si>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</si>
  <si>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</si>
  <si>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</si>
  <si>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</si>
  <si>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</si>
  <si>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</si>
  <si>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</si>
  <si>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</si>
  <si>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</si>
  <si>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</si>
  <si>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</si>
  <si>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</si>
  <si>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</si>
  <si>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</si>
  <si>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</si>
  <si>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</si>
  <si>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</si>
  <si>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</si>
  <si>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</si>
  <si>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</si>
  <si>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</si>
  <si>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</si>
  <si>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</si>
  <si>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</si>
  <si>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</si>
  <si>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</si>
  <si>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</si>
  <si>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</si>
  <si>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</si>
  <si>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</si>
  <si>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</si>
  <si>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</si>
  <si>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</si>
  <si>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</si>
  <si>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</si>
  <si>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</si>
  <si>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</si>
  <si>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</si>
  <si>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</si>
  <si>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</si>
  <si>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</si>
  <si>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</si>
  <si>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</si>
  <si>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</si>
  <si>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</si>
  <si>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</si>
  <si>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</si>
  <si>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</si>
  <si>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</si>
  <si>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</si>
  <si>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</si>
  <si>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</si>
  <si>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</si>
  <si>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</si>
  <si>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</si>
  <si>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</si>
  <si>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</si>
  <si>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</si>
  <si>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</si>
  <si>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</si>
  <si>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</si>
  <si>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</si>
  <si>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</si>
  <si>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</si>
  <si>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</si>
  <si>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</si>
  <si>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</si>
  <si>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</si>
  <si>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</si>
  <si>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</si>
  <si>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</si>
  <si>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</si>
  <si>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</si>
  <si>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</si>
  <si>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</si>
  <si>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</si>
  <si>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</si>
  <si>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</si>
  <si>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</si>
  <si>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</si>
  <si>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</si>
  <si>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</si>
  <si>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</si>
  <si>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</si>
  <si>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</si>
  <si>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</si>
  <si>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</si>
  <si>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</si>
  <si>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</si>
  <si>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</si>
  <si>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</si>
  <si>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</si>
  <si>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</si>
  <si>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</si>
  <si>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</si>
  <si>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</si>
  <si>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</si>
  <si>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</si>
  <si>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</si>
  <si>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</si>
  <si>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</si>
  <si>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</si>
  <si>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</si>
  <si>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</si>
  <si>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</si>
  <si>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</si>
  <si>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</si>
  <si>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</si>
  <si>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</si>
  <si>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</si>
  <si>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</si>
  <si>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</si>
  <si>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</si>
  <si>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</si>
  <si>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</si>
  <si>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</si>
  <si>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</si>
  <si>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</si>
  <si>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</si>
  <si>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</si>
  <si>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</si>
  <si>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</si>
  <si>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</si>
  <si>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</si>
  <si>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</si>
  <si>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</si>
  <si>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</si>
  <si>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</si>
  <si>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</si>
  <si>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</si>
  <si>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</si>
  <si>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</si>
  <si>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</si>
  <si>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</si>
  <si>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</si>
  <si>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</si>
  <si>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</si>
  <si>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</si>
  <si>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</si>
  <si>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</si>
  <si>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</si>
  <si>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</si>
  <si>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</si>
  <si>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</si>
  <si>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</si>
  <si>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</si>
  <si>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</si>
  <si>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</si>
  <si>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</si>
  <si>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</si>
  <si>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</si>
  <si>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</si>
  <si>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</si>
  <si>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</si>
  <si>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</si>
  <si>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</si>
  <si>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</si>
  <si>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</si>
  <si>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</si>
  <si>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</si>
  <si>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</si>
  <si>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</si>
  <si>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</si>
  <si>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</si>
  <si>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</si>
  <si>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</si>
  <si>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</si>
  <si>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</si>
  <si>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</si>
  <si>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</si>
  <si>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</si>
  <si>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</si>
  <si>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</si>
  <si>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</si>
  <si>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</si>
  <si>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</si>
  <si>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</si>
  <si>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</si>
  <si>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</si>
  <si>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</si>
  <si>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</si>
  <si>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</si>
  <si>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</si>
  <si>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</si>
  <si>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</si>
  <si>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</si>
  <si>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</si>
  <si>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</si>
  <si>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</si>
  <si>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</si>
  <si>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</si>
  <si>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</si>
  <si>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</si>
  <si>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</si>
  <si>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</si>
  <si>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</si>
  <si>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</si>
  <si>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</si>
  <si>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</si>
  <si>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</si>
  <si>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</si>
  <si>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</si>
  <si>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</si>
  <si>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</si>
  <si>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</si>
  <si>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</si>
  <si>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</si>
  <si>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</si>
  <si>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</si>
  <si>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</si>
  <si>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</si>
  <si>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</si>
  <si>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</si>
  <si>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</si>
  <si>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</si>
  <si>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</si>
  <si>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</si>
  <si>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</si>
  <si>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</si>
  <si>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</si>
  <si>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</si>
  <si>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</si>
  <si>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</si>
  <si>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</si>
  <si>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</si>
  <si>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</si>
  <si>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</si>
  <si>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</si>
  <si>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</si>
  <si>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</si>
  <si>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</si>
  <si>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</si>
  <si>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</si>
  <si>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</si>
  <si>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</si>
  <si>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</si>
  <si>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</si>
  <si>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</si>
  <si>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</si>
  <si>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</si>
  <si>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</si>
  <si>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</si>
  <si>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</si>
  <si>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</si>
  <si>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</si>
  <si>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</si>
  <si>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</si>
  <si>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</si>
  <si>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</si>
  <si>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</si>
  <si>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</si>
  <si>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</si>
  <si>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</si>
  <si>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</si>
  <si>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</si>
  <si>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</si>
  <si>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</si>
  <si>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</si>
  <si>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</si>
  <si>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</si>
  <si>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</si>
  <si>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</si>
  <si>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</si>
  <si>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</si>
  <si>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</si>
  <si>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</si>
  <si>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</si>
  <si>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</si>
  <si>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</si>
  <si>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</si>
  <si>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</si>
  <si>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</si>
  <si>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</si>
  <si>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</si>
  <si>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</si>
  <si>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</si>
  <si>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</si>
  <si>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</si>
  <si>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</si>
  <si>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</si>
  <si>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</si>
  <si>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</si>
  <si>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</si>
  <si>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</si>
  <si>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</si>
  <si>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</si>
  <si>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</si>
  <si>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</si>
  <si>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</si>
  <si>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</si>
  <si>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</si>
  <si>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</si>
  <si>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</si>
  <si>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</si>
  <si>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</si>
  <si>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</si>
  <si>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</si>
  <si>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</si>
  <si>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</si>
  <si>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</si>
  <si>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</si>
  <si>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</si>
  <si>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</si>
  <si>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</si>
  <si>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</si>
  <si>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</si>
  <si>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</si>
  <si>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</si>
  <si>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</si>
  <si>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</si>
  <si>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</si>
  <si>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</si>
  <si>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</si>
  <si>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</si>
  <si>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</si>
  <si>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</si>
  <si>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</si>
  <si>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</si>
  <si>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</si>
  <si>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</si>
  <si>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</si>
  <si>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</si>
  <si>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</si>
  <si>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</si>
  <si>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</si>
  <si>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</si>
  <si>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</si>
  <si>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</si>
  <si>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</si>
  <si>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</si>
  <si>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</si>
  <si>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</si>
  <si>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</si>
  <si>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</si>
  <si>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</si>
  <si>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</si>
  <si>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</si>
  <si>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</si>
  <si>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</si>
  <si>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</si>
  <si>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</si>
  <si>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</si>
  <si>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</si>
  <si>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</si>
  <si>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</si>
  <si>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</si>
  <si>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</si>
  <si>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</si>
  <si>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</si>
  <si>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</si>
  <si>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</si>
  <si>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</si>
  <si>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</si>
  <si>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</si>
  <si>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</si>
  <si>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</si>
  <si>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</si>
  <si>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</si>
  <si>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</si>
  <si>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</si>
  <si>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</si>
  <si>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</si>
  <si>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</si>
  <si>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</si>
  <si>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</si>
  <si>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</si>
  <si>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</si>
  <si>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</si>
  <si>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</si>
  <si>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</si>
  <si>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</si>
  <si>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</si>
  <si>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</si>
  <si>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</si>
  <si>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</si>
  <si>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</si>
  <si>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</si>
  <si>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</si>
  <si>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</si>
  <si>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</si>
  <si>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</si>
  <si>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</si>
  <si>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</si>
  <si>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</si>
  <si>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</si>
  <si>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</si>
  <si>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</si>
  <si>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</si>
  <si>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</si>
  <si>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</si>
  <si>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</si>
  <si>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</si>
  <si>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</si>
  <si>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</si>
  <si>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</si>
  <si>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</si>
  <si>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</si>
  <si>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</si>
  <si>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</si>
  <si>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</si>
  <si>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</si>
  <si>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</si>
  <si>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</si>
  <si>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</si>
  <si>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</si>
  <si>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</si>
  <si>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</si>
  <si>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</si>
  <si>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</si>
  <si>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</si>
  <si>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</si>
  <si>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</si>
  <si>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</si>
  <si>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</si>
  <si>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</si>
  <si>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</si>
  <si>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</si>
  <si>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</si>
  <si>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</si>
  <si>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</si>
  <si>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</si>
  <si>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</si>
  <si>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</si>
  <si>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</si>
  <si>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</si>
  <si>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</si>
  <si>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</si>
  <si>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</si>
  <si>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</si>
  <si>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</si>
  <si>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</si>
  <si>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</si>
  <si>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</si>
  <si>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</si>
  <si>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</si>
  <si>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</si>
  <si>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</si>
  <si>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</si>
  <si>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</si>
  <si>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</si>
  <si>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</si>
  <si>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</si>
  <si>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</si>
  <si>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</si>
  <si>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</si>
  <si>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</si>
  <si>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</si>
  <si>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</si>
  <si>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</si>
  <si>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</si>
  <si>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</si>
  <si>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</si>
  <si>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</si>
  <si>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</si>
  <si>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</si>
  <si>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</si>
  <si>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</si>
  <si>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</si>
  <si>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</si>
  <si>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</si>
  <si>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</si>
  <si>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</si>
  <si>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</si>
  <si>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</si>
  <si>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</si>
  <si>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</si>
  <si>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</si>
  <si>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</si>
  <si>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</si>
  <si>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</si>
  <si>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</si>
  <si>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</si>
  <si>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</si>
  <si>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</si>
  <si>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</si>
  <si>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</si>
  <si>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</si>
  <si>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</si>
  <si>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</si>
  <si>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</si>
  <si>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</si>
  <si>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</si>
  <si>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</si>
  <si>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</si>
  <si>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</si>
  <si>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</si>
  <si>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</si>
  <si>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</si>
  <si>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</si>
  <si>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</si>
  <si>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</si>
  <si>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</si>
  <si>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</si>
  <si>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</si>
  <si>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</si>
  <si>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</si>
  <si>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</si>
  <si>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</si>
  <si>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</si>
  <si>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</si>
  <si>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</si>
  <si>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</si>
  <si>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</si>
  <si>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</si>
  <si>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</si>
  <si>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</si>
  <si>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</si>
  <si>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</si>
  <si>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</si>
  <si>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</si>
  <si>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</si>
  <si>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</si>
  <si>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</si>
  <si>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</si>
  <si>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</si>
  <si>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</si>
  <si>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</si>
  <si>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</si>
  <si>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</si>
  <si>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</si>
  <si>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</si>
  <si>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</si>
  <si>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</si>
  <si>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</si>
  <si>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</si>
  <si>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</si>
  <si>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</si>
  <si>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</si>
  <si>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</si>
  <si>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</si>
  <si>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</si>
  <si>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</si>
  <si>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</si>
  <si>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</si>
  <si>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</si>
  <si>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</si>
  <si>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</si>
  <si>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</si>
  <si>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</si>
  <si>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</si>
  <si>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</si>
  <si>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</si>
  <si>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</si>
  <si>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</si>
  <si>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</si>
  <si>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</si>
  <si>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</si>
  <si>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</si>
  <si>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</si>
  <si>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</si>
  <si>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</si>
  <si>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</si>
  <si>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</si>
  <si>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</si>
  <si>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</si>
  <si>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</si>
  <si>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</si>
  <si>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</si>
  <si>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</si>
  <si>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</si>
  <si>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</si>
  <si>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</si>
  <si>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</si>
  <si>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</si>
  <si>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</si>
  <si>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</si>
  <si>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</si>
  <si>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</si>
  <si>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</si>
  <si>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</si>
  <si>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</si>
  <si>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</si>
  <si>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</si>
  <si>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</si>
  <si>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</si>
  <si>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</si>
  <si>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</si>
  <si>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</si>
  <si>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</si>
  <si>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</si>
  <si>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</si>
  <si>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</si>
  <si>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</si>
  <si>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</si>
  <si>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</si>
  <si>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</si>
  <si>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</si>
  <si>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</si>
  <si>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</si>
  <si>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</si>
  <si>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</si>
  <si>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</si>
  <si>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</si>
  <si>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</si>
  <si>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</si>
  <si>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</si>
  <si>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</si>
  <si>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</si>
  <si>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</si>
  <si>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</si>
  <si>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</si>
  <si>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</si>
  <si>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</si>
  <si>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</si>
  <si>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</si>
  <si>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</si>
  <si>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</si>
  <si>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</si>
  <si>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</si>
  <si>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</si>
  <si>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</si>
  <si>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</si>
  <si>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</si>
  <si>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</si>
  <si>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</si>
  <si>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</si>
  <si>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</si>
  <si>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</si>
  <si>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</si>
  <si>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</si>
  <si>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</si>
  <si>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</si>
  <si>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</si>
  <si>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</si>
  <si>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</si>
  <si>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</si>
  <si>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</si>
  <si>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</si>
  <si>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</si>
  <si>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</si>
  <si>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</si>
  <si>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</si>
  <si>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</si>
  <si>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</si>
  <si>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</si>
  <si>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</si>
  <si>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</si>
  <si>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</si>
  <si>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</si>
  <si>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</si>
  <si>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</si>
  <si>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</si>
  <si>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</si>
  <si>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</si>
  <si>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</si>
  <si>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</si>
  <si>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</si>
  <si>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</si>
  <si>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</si>
  <si>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</si>
  <si>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</si>
  <si>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</si>
  <si>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</si>
  <si>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</si>
  <si>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</si>
  <si>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</si>
  <si>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</si>
  <si>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</si>
  <si>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</si>
  <si>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</si>
  <si>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</si>
  <si>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</si>
  <si>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</si>
  <si>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</si>
  <si>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</si>
  <si>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</si>
  <si>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</si>
  <si>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</si>
  <si>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</si>
  <si>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</si>
  <si>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</si>
  <si>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</si>
  <si>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</si>
  <si>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</si>
  <si>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</si>
  <si>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</si>
  <si>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</si>
  <si>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</si>
  <si>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</si>
  <si>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</si>
  <si>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</si>
  <si>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</si>
  <si>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</si>
  <si>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</si>
  <si>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</si>
  <si>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</si>
  <si>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</si>
  <si>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</si>
  <si>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</si>
  <si>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</si>
  <si>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</si>
  <si>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</si>
  <si>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</si>
  <si>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</si>
  <si>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</si>
  <si>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</si>
  <si>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</si>
  <si>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</si>
  <si>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</si>
  <si>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</si>
  <si>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</si>
  <si>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</si>
  <si>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</si>
  <si>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</si>
  <si>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</si>
  <si>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</si>
  <si>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</si>
  <si>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</si>
  <si>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</si>
  <si>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</si>
  <si>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</si>
  <si>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</si>
  <si>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</si>
  <si>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</si>
  <si>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</si>
  <si>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</si>
  <si>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</si>
  <si>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</si>
  <si>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</si>
  <si>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</si>
  <si>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</si>
  <si>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</si>
  <si>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</si>
  <si>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</si>
  <si>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</si>
  <si>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</si>
  <si>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</si>
  <si>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</si>
  <si>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</si>
  <si>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</si>
  <si>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</si>
  <si>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</si>
  <si>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</si>
  <si>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</si>
  <si>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</si>
  <si>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</si>
  <si>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</si>
  <si>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</si>
  <si>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</si>
  <si>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</si>
  <si>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</si>
  <si>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</si>
  <si>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</si>
  <si>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</si>
  <si>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</si>
  <si>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</si>
  <si>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</si>
  <si>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</si>
  <si>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</si>
  <si>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</si>
  <si>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</si>
  <si>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</si>
  <si>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</si>
  <si>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</si>
  <si>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</si>
  <si>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</si>
  <si>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</si>
  <si>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</si>
  <si>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</si>
  <si>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</si>
  <si>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</si>
  <si>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</si>
  <si>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</si>
  <si>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</si>
  <si>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</si>
  <si>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</si>
  <si>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</si>
  <si>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</si>
  <si>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</si>
  <si>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</si>
  <si>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</si>
  <si>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</si>
  <si>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</si>
  <si>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</si>
  <si>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</si>
  <si>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</si>
  <si>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</si>
  <si>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</si>
  <si>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</si>
  <si>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</si>
  <si>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</si>
  <si>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</si>
  <si>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</si>
  <si>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</si>
  <si>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</si>
  <si>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</si>
  <si>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</si>
  <si>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</si>
  <si>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</si>
  <si>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</si>
  <si>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</si>
  <si>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</si>
  <si>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</si>
  <si>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</si>
  <si>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</si>
  <si>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</si>
  <si>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</si>
  <si>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</si>
  <si>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</si>
  <si>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</si>
  <si>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</si>
  <si>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</si>
  <si>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</si>
  <si>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</si>
  <si>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</si>
  <si>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</si>
  <si>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</si>
  <si>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</si>
  <si>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</si>
  <si>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</si>
  <si>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</si>
  <si>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</si>
  <si>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</si>
  <si>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</si>
  <si>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</si>
  <si>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</si>
  <si>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</si>
  <si>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</si>
  <si>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</si>
  <si>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</si>
  <si>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</si>
  <si>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</si>
  <si>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</si>
  <si>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</si>
  <si>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</si>
  <si>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</si>
  <si>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</si>
  <si>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</si>
  <si>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</si>
  <si>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</si>
  <si>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</si>
  <si>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</si>
  <si>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</si>
  <si>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</si>
  <si>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</si>
  <si>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</si>
  <si>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</si>
  <si>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</si>
  <si>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</si>
  <si>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</si>
  <si>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</si>
  <si>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</si>
  <si>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</si>
  <si>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</si>
  <si>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</si>
  <si>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</si>
  <si>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</si>
  <si>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</si>
  <si>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</si>
  <si>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</si>
  <si>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</si>
  <si>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</si>
  <si>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</si>
  <si>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</si>
  <si>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</si>
  <si>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</si>
  <si>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</si>
  <si>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</si>
  <si>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</si>
  <si>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</si>
  <si>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</si>
  <si>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</si>
  <si>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</si>
  <si>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</si>
  <si>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</si>
  <si>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</si>
  <si>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</si>
  <si>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</si>
  <si>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</si>
  <si>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</si>
  <si>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</si>
  <si>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</si>
  <si>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</si>
  <si>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</si>
  <si>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</si>
  <si>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</si>
  <si>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</si>
  <si>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</si>
  <si>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</si>
  <si>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</si>
  <si>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</si>
  <si>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</si>
  <si>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</si>
  <si>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</si>
  <si>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</si>
  <si>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</si>
  <si>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</si>
  <si>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</si>
  <si>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</si>
  <si>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</si>
  <si>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</si>
  <si>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</si>
  <si>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</si>
  <si>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</si>
  <si>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</si>
  <si>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</si>
  <si>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</si>
  <si>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</si>
  <si>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</si>
  <si>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</si>
  <si>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</si>
  <si>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</si>
  <si>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</si>
  <si>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</si>
  <si>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</si>
  <si>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</si>
  <si>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</si>
  <si>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</si>
  <si>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</si>
  <si>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</si>
  <si>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</si>
  <si>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</si>
  <si>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</si>
  <si>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</si>
  <si>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</si>
  <si>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</si>
  <si>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</si>
  <si>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</si>
  <si>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</si>
  <si>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</si>
  <si>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</si>
  <si>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</si>
  <si>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</si>
  <si>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</si>
  <si>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</si>
  <si>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</si>
  <si>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</si>
  <si>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</si>
  <si>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</si>
  <si>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</si>
  <si>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</si>
  <si>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</si>
  <si>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</si>
  <si>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</si>
  <si>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</si>
  <si>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</si>
  <si>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</si>
  <si>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</si>
  <si>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</si>
  <si>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</si>
  <si>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</si>
  <si>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</si>
  <si>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</si>
  <si>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</si>
  <si>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</si>
  <si>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</si>
  <si>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</si>
  <si>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</si>
  <si>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</si>
  <si>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</si>
  <si>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</si>
  <si>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</si>
  <si>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</si>
  <si>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</si>
  <si>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</si>
  <si>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</si>
  <si>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</si>
  <si>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</si>
  <si>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</si>
  <si>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</si>
  <si>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</si>
  <si>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</si>
  <si>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</si>
  <si>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</si>
  <si>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</si>
  <si>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</si>
  <si>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</si>
  <si>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</si>
  <si>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</si>
  <si>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</si>
  <si>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</si>
  <si>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</si>
  <si>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</si>
  <si>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</si>
  <si>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</si>
  <si>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</si>
  <si>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</si>
  <si>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</si>
  <si>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</si>
  <si>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</si>
  <si>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</si>
  <si>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</si>
  <si>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</si>
  <si>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</si>
  <si>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</si>
  <si>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</si>
  <si>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</si>
  <si>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</si>
  <si>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</si>
  <si>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</si>
  <si>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</si>
  <si>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</si>
  <si>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</si>
  <si>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</si>
  <si>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</si>
  <si>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</si>
  <si>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</si>
  <si>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</si>
  <si>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</si>
  <si>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</si>
  <si>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</si>
  <si>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</si>
  <si>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</si>
  <si>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</si>
  <si>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</si>
  <si>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</si>
  <si>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</si>
  <si>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</si>
  <si>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</si>
  <si>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</si>
  <si>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</si>
  <si>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</si>
  <si>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</si>
  <si>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</si>
  <si>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</si>
  <si>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</si>
  <si>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</si>
  <si>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</si>
  <si>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</si>
  <si>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</si>
  <si>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</si>
  <si>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</si>
  <si>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</si>
  <si>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</si>
  <si>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</si>
  <si>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</si>
  <si>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</si>
  <si>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</si>
  <si>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</si>
  <si>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</si>
  <si>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</si>
  <si>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</si>
  <si>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</si>
  <si>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</si>
  <si>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</si>
  <si>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</si>
  <si>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</si>
  <si>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</si>
  <si>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</si>
  <si>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</si>
  <si>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</si>
  <si>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</si>
  <si>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</si>
  <si>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</si>
  <si>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</si>
  <si>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</si>
  <si>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</si>
  <si>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</si>
  <si>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</si>
  <si>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</si>
  <si>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</si>
  <si>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</si>
  <si>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</si>
  <si>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</si>
  <si>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</si>
  <si>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</si>
  <si>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</si>
  <si>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</si>
  <si>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</si>
  <si>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</si>
  <si>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</si>
  <si>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</si>
  <si>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</si>
  <si>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</si>
  <si>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</si>
  <si>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</si>
  <si>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</si>
  <si>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</si>
  <si>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</si>
  <si>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</si>
  <si>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</si>
  <si>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</si>
  <si>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</si>
  <si>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</si>
  <si>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</si>
  <si>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</si>
  <si>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</si>
  <si>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</si>
  <si>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</si>
  <si>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</si>
  <si>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</si>
  <si>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</si>
  <si>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</si>
  <si>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</si>
  <si>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</si>
  <si>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</si>
  <si>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</si>
  <si>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</si>
  <si>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</si>
  <si>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</si>
  <si>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</si>
  <si>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</si>
  <si>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</si>
  <si>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</si>
  <si>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</si>
  <si>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</si>
  <si>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</si>
  <si>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</si>
  <si>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</si>
  <si>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</si>
  <si>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</si>
  <si>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</si>
  <si>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</si>
  <si>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</si>
  <si>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</si>
  <si>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</si>
  <si>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</si>
  <si>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</si>
  <si>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</si>
  <si>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</si>
  <si>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</si>
  <si>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</si>
  <si>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</si>
  <si>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</si>
  <si>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</si>
  <si>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</si>
  <si>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</si>
  <si>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</si>
  <si>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</si>
  <si>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</si>
  <si>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</si>
  <si>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</si>
  <si>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</si>
  <si>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</si>
  <si>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</si>
  <si>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</si>
  <si>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</si>
  <si>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</si>
  <si>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</si>
  <si>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</si>
  <si>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</si>
  <si>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</si>
  <si>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</si>
  <si>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</si>
  <si>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</si>
  <si>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</si>
  <si>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</si>
  <si>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</si>
  <si>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</si>
  <si>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</si>
  <si>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</si>
  <si>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</si>
  <si>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</si>
  <si>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</si>
  <si>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</si>
  <si>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</si>
  <si>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</si>
  <si>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</si>
  <si>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</si>
  <si>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</si>
  <si>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</si>
  <si>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</si>
  <si>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</si>
  <si>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</si>
  <si>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</si>
  <si>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</si>
  <si>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</si>
  <si>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</si>
  <si>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</si>
  <si>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</si>
  <si>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</si>
  <si>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</si>
  <si>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</si>
  <si>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</si>
  <si>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</si>
  <si>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</si>
  <si>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</si>
  <si>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</si>
  <si>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</si>
  <si>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</si>
  <si>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</si>
  <si>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</si>
  <si>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</si>
  <si>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</si>
  <si>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</si>
  <si>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</si>
  <si>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</si>
  <si>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</si>
  <si>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</si>
  <si>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</si>
  <si>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</si>
  <si>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</si>
  <si>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</si>
  <si>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</si>
  <si>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</si>
  <si>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</si>
  <si>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</si>
  <si>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</si>
  <si>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</si>
  <si>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</si>
  <si>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</si>
  <si>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</si>
  <si>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</si>
  <si>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</si>
  <si>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</si>
  <si>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</si>
  <si>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</si>
  <si>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</si>
  <si>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</si>
  <si>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</si>
  <si>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</si>
  <si>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</si>
  <si>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</si>
  <si>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</si>
  <si>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</si>
  <si>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</si>
  <si>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</si>
  <si>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</si>
  <si>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</si>
  <si>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</si>
  <si>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</si>
  <si>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</si>
  <si>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</si>
  <si>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</si>
  <si>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Sold, If purchased at M: Loss in RED</t>
  </si>
  <si>
    <t>Bought, IF sold at M at profit</t>
  </si>
  <si>
    <t>Total V_GL</t>
  </si>
  <si>
    <t>BEGIN</t>
  </si>
  <si>
    <t>SUM_T_M_V</t>
  </si>
  <si>
    <t>SUM_n_M_V</t>
  </si>
  <si>
    <t>SUM_n_GL</t>
  </si>
  <si>
    <t>Bayes</t>
  </si>
  <si>
    <t>Markov</t>
  </si>
  <si>
    <t>0=0@M: 6.89</t>
  </si>
  <si>
    <t>(2.2%:165%)@6.89:(0=0@M: 6.89)&gt;UpMark 0%</t>
  </si>
  <si>
    <t>Markov 47% to go Up: and it did it!</t>
  </si>
  <si>
    <t>Max_Bayes</t>
  </si>
  <si>
    <t>Max_Markov</t>
  </si>
  <si>
    <t>Short</t>
  </si>
  <si>
    <t>Description 7 November</t>
  </si>
  <si>
    <t>M_Value+ Cash Gain</t>
  </si>
  <si>
    <t>TabFIFO updated: 2025-11-07 22:29:49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</si>
</sst>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9">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0" fontId="97" fillId="0" borderId="0" xfId="0" applyFont="1" applyAlignment="1">
      <alignment horizontal="left"/>
    </xf>
    <xf numFmtId="0" fontId="96" fillId="0" borderId="0" xfId="0" applyFont="1" applyAlignment="1">
      <alignment horizontal="left"/>
    </xf>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40" fontId="60" fillId="0" borderId="0" xfId="0" applyNumberFormat="1" applyFont="1"/>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0" fontId="0" fillId="36" borderId="8" xfId="0" applyFill="1" applyBorder="1"/>
    <xf numFmtId="0" fontId="0" fillId="36" borderId="11"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38" fontId="0" fillId="36" borderId="8" xfId="1" applyNumberFormat="1" applyFont="1" applyFill="1" applyBorder="1"/>
    <xf numFmtId="38" fontId="0" fillId="36" borderId="11"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0" fontId="137" fillId="0" borderId="0" xfId="0" applyFont="1" applyBorder="1"/>
    <xf numFmtId="167" fontId="137" fillId="0" borderId="0" xfId="1" applyNumberFormat="1" applyFont="1" applyBorder="1"/>
    <xf numFmtId="0" fontId="137" fillId="66" borderId="0" xfId="0" applyFont="1" applyFill="1" applyBorder="1" applyAlignment="1">
      <alignment horizontal="center"/>
    </xf>
    <xf numFmtId="4" fontId="0" fillId="6" borderId="0" xfId="0" applyNumberFormat="1" applyFill="1" applyProtection="1">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42">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41"/>
      <tableStyleElement type="headerRow" dxfId="2940"/>
      <tableStyleElement type="totalRow" dxfId="2939"/>
      <tableStyleElement type="firstColumn" dxfId="2938"/>
      <tableStyleElement type="lastColumn" dxfId="2937"/>
      <tableStyleElement type="firstRowStripe" dxfId="2936"/>
      <tableStyleElement type="firstColumnStripe" dxfId="2935"/>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ASML</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ID!$U$20:$U$47</c:f>
              <c:numCache>
                <c:formatCode>#,##0.00</c:formatCode>
                <c:ptCount val="2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659.34</c:v>
                </c:pt>
                <c:pt idx="12">
                  <c:v>690.9</c:v>
                </c:pt>
                <c:pt idx="13">
                  <c:v>695.5</c:v>
                </c:pt>
                <c:pt idx="14">
                  <c:v>701.05</c:v>
                </c:pt>
                <c:pt idx="15">
                  <c:v>706.2</c:v>
                </c:pt>
                <c:pt idx="16">
                  <c:v>706.6</c:v>
                </c:pt>
                <c:pt idx="17">
                  <c:v>715.55</c:v>
                </c:pt>
                <c:pt idx="18" formatCode="General">
                  <c:v>717.1</c:v>
                </c:pt>
                <c:pt idx="19" formatCode="General">
                  <c:v>724.24</c:v>
                </c:pt>
                <c:pt idx="20" formatCode="General">
                  <c:v>761.4</c:v>
                </c:pt>
                <c:pt idx="21" formatCode="General">
                  <c:v>763.5</c:v>
                </c:pt>
                <c:pt idx="22" formatCode="General">
                  <c:v>791.4</c:v>
                </c:pt>
                <c:pt idx="23" formatCode="General">
                  <c:v>804.9</c:v>
                </c:pt>
                <c:pt idx="24" formatCode="General">
                  <c:v>813.9</c:v>
                </c:pt>
                <c:pt idx="25" formatCode="General">
                  <c:v>857.1</c:v>
                </c:pt>
                <c:pt idx="26" formatCode="General">
                  <c:v>860.48699999999997</c:v>
                </c:pt>
                <c:pt idx="27" formatCode="General">
                  <c:v>870.8</c:v>
                </c:pt>
              </c:numCache>
            </c:numRef>
          </c:cat>
          <c:val>
            <c:numRef>
              <c:f>ID!$V$20:$V$47</c:f>
              <c:numCache>
                <c:formatCode>#,##0</c:formatCode>
                <c:ptCount val="28"/>
                <c:pt idx="0">
                  <c:v>500</c:v>
                </c:pt>
                <c:pt idx="1">
                  <c:v>300</c:v>
                </c:pt>
                <c:pt idx="2">
                  <c:v>200</c:v>
                </c:pt>
                <c:pt idx="3">
                  <c:v>500</c:v>
                </c:pt>
                <c:pt idx="4">
                  <c:v>300</c:v>
                </c:pt>
                <c:pt idx="5">
                  <c:v>100</c:v>
                </c:pt>
                <c:pt idx="6">
                  <c:v>200</c:v>
                </c:pt>
                <c:pt idx="7">
                  <c:v>0</c:v>
                </c:pt>
                <c:pt idx="8">
                  <c:v>300</c:v>
                </c:pt>
                <c:pt idx="9">
                  <c:v>0</c:v>
                </c:pt>
                <c:pt idx="10">
                  <c:v>0</c:v>
                </c:pt>
                <c:pt idx="11">
                  <c:v>0</c:v>
                </c:pt>
                <c:pt idx="12">
                  <c:v>300</c:v>
                </c:pt>
                <c:pt idx="13">
                  <c:v>200</c:v>
                </c:pt>
                <c:pt idx="14">
                  <c:v>0</c:v>
                </c:pt>
                <c:pt idx="15">
                  <c:v>0</c:v>
                </c:pt>
                <c:pt idx="16">
                  <c:v>100</c:v>
                </c:pt>
                <c:pt idx="17">
                  <c:v>0</c:v>
                </c:pt>
                <c:pt idx="18" formatCode="General">
                  <c:v>100</c:v>
                </c:pt>
                <c:pt idx="19" formatCode="General">
                  <c:v>100</c:v>
                </c:pt>
                <c:pt idx="20" formatCode="General">
                  <c:v>0</c:v>
                </c:pt>
                <c:pt idx="21" formatCode="General">
                  <c:v>0</c:v>
                </c:pt>
                <c:pt idx="22" formatCode="General">
                  <c:v>0</c:v>
                </c:pt>
                <c:pt idx="23" formatCode="General">
                  <c:v>200</c:v>
                </c:pt>
                <c:pt idx="24" formatCode="General">
                  <c:v>200</c:v>
                </c:pt>
                <c:pt idx="25" formatCode="General">
                  <c:v>0</c:v>
                </c:pt>
                <c:pt idx="26" formatCode="General">
                  <c:v>0</c:v>
                </c:pt>
                <c:pt idx="27" formatCode="General">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659.34</c:v>
                </c:pt>
                <c:pt idx="12">
                  <c:v>690.9</c:v>
                </c:pt>
                <c:pt idx="13">
                  <c:v>695.5</c:v>
                </c:pt>
                <c:pt idx="14">
                  <c:v>701.05</c:v>
                </c:pt>
                <c:pt idx="15">
                  <c:v>706.2</c:v>
                </c:pt>
                <c:pt idx="16">
                  <c:v>706.6</c:v>
                </c:pt>
                <c:pt idx="17">
                  <c:v>715.55</c:v>
                </c:pt>
              </c:numCache>
            </c:numRef>
          </c:cat>
          <c:val>
            <c:numRef>
              <c:f>ID!$W$20:$W$47</c:f>
              <c:numCache>
                <c:formatCode>#,##0</c:formatCode>
                <c:ptCount val="28"/>
                <c:pt idx="0">
                  <c:v>0</c:v>
                </c:pt>
                <c:pt idx="1">
                  <c:v>0</c:v>
                </c:pt>
                <c:pt idx="2">
                  <c:v>0</c:v>
                </c:pt>
                <c:pt idx="3">
                  <c:v>0</c:v>
                </c:pt>
                <c:pt idx="4">
                  <c:v>0</c:v>
                </c:pt>
                <c:pt idx="5">
                  <c:v>0</c:v>
                </c:pt>
                <c:pt idx="6">
                  <c:v>0</c:v>
                </c:pt>
                <c:pt idx="7">
                  <c:v>0</c:v>
                </c:pt>
                <c:pt idx="8">
                  <c:v>0</c:v>
                </c:pt>
                <c:pt idx="9">
                  <c:v>0</c:v>
                </c:pt>
                <c:pt idx="10">
                  <c:v>0</c:v>
                </c:pt>
                <c:pt idx="11">
                  <c:v>500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659.34</c:v>
                </c:pt>
                <c:pt idx="12">
                  <c:v>690.9</c:v>
                </c:pt>
                <c:pt idx="13">
                  <c:v>695.5</c:v>
                </c:pt>
                <c:pt idx="14">
                  <c:v>701.05</c:v>
                </c:pt>
                <c:pt idx="15">
                  <c:v>706.2</c:v>
                </c:pt>
                <c:pt idx="16">
                  <c:v>706.6</c:v>
                </c:pt>
                <c:pt idx="17">
                  <c:v>715.55</c:v>
                </c:pt>
              </c:numCache>
            </c:numRef>
          </c:cat>
          <c:val>
            <c:numRef>
              <c:f>ID!$X$20:$X$47</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ASML: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45961</c:v>
                </c:pt>
                <c:pt idx="1">
                  <c:v>45964</c:v>
                </c:pt>
                <c:pt idx="2">
                  <c:v>45965</c:v>
                </c:pt>
                <c:pt idx="3">
                  <c:v>45966</c:v>
                </c:pt>
                <c:pt idx="4">
                  <c:v>45967</c:v>
                </c:pt>
                <c:pt idx="5">
                  <c:v>45968</c:v>
                </c:pt>
              </c:numCache>
            </c:numRef>
          </c:cat>
          <c:val>
            <c:numRef>
              <c:f>ID!$P$16:$U$16</c:f>
              <c:numCache>
                <c:formatCode>0%</c:formatCode>
                <c:ptCount val="6"/>
                <c:pt idx="0">
                  <c:v>0.97038282181975921</c:v>
                </c:pt>
                <c:pt idx="1">
                  <c:v>0.91785407110091743</c:v>
                </c:pt>
                <c:pt idx="2">
                  <c:v>1.2120666350052971</c:v>
                </c:pt>
                <c:pt idx="3">
                  <c:v>0.8690636176438713</c:v>
                </c:pt>
                <c:pt idx="4">
                  <c:v>1.4227731762002704</c:v>
                </c:pt>
                <c:pt idx="5">
                  <c:v>1.4227731762002704</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45961</c:v>
                </c:pt>
                <c:pt idx="1">
                  <c:v>45964</c:v>
                </c:pt>
                <c:pt idx="2">
                  <c:v>45965</c:v>
                </c:pt>
                <c:pt idx="3">
                  <c:v>45966</c:v>
                </c:pt>
                <c:pt idx="4">
                  <c:v>45967</c:v>
                </c:pt>
                <c:pt idx="5">
                  <c:v>45968</c:v>
                </c:pt>
              </c:numCache>
            </c:numRef>
          </c:cat>
          <c:val>
            <c:numRef>
              <c:f>ID!$P$14:$U$14</c:f>
              <c:numCache>
                <c:formatCode>0.00%</c:formatCode>
                <c:ptCount val="6"/>
                <c:pt idx="0">
                  <c:v>-4.0619916666666672E-3</c:v>
                </c:pt>
                <c:pt idx="1">
                  <c:v>-2.7278249999999988E-3</c:v>
                </c:pt>
                <c:pt idx="2">
                  <c:v>1.1275202380952383E-3</c:v>
                </c:pt>
                <c:pt idx="3">
                  <c:v>3.0662107142857154E-3</c:v>
                </c:pt>
                <c:pt idx="4">
                  <c:v>-2.7738666666666666E-3</c:v>
                </c:pt>
                <c:pt idx="5">
                  <c:v>-7.0868964285714297E-3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1.9687E-2</c:v>
                </c:pt>
                <c:pt idx="1">
                  <c:v>-9.1739999999999999E-3</c:v>
                </c:pt>
                <c:pt idx="2">
                  <c:v>-1.2418E-2</c:v>
                </c:pt>
                <c:pt idx="3">
                  <c:v>-1.2463999999999999E-2</c:v>
                </c:pt>
                <c:pt idx="4">
                  <c:v>-2.7365E-2</c:v>
                </c:pt>
                <c:pt idx="5">
                  <c:v>-2.7365E-2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ASML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45940</c:v>
                </c:pt>
                <c:pt idx="1">
                  <c:v>45943</c:v>
                </c:pt>
                <c:pt idx="2">
                  <c:v>45965</c:v>
                </c:pt>
                <c:pt idx="3">
                  <c:v>45966</c:v>
                </c:pt>
                <c:pt idx="4">
                  <c:v>45967</c:v>
                </c:pt>
                <c:pt idx="5">
                  <c:v>45968</c:v>
                </c:pt>
              </c:numCache>
            </c:numRef>
          </c:cat>
          <c:val>
            <c:numRef>
              <c:f>DataShift!$F$202:$Z$202</c:f>
              <c:numCache>
                <c:formatCode>#,##0_);[Red]\(#,##0\)</c:formatCode>
                <c:ptCount val="6"/>
                <c:pt idx="0">
                  <c:v>849.8</c:v>
                </c:pt>
                <c:pt idx="1">
                  <c:v>842.3</c:v>
                </c:pt>
                <c:pt idx="2">
                  <c:v>906.6</c:v>
                </c:pt>
                <c:pt idx="3">
                  <c:v>895.3</c:v>
                </c:pt>
                <c:pt idx="4">
                  <c:v>870.8</c:v>
                </c:pt>
                <c:pt idx="5">
                  <c:v>870.8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45940</c:v>
                </c:pt>
                <c:pt idx="1">
                  <c:v>45943</c:v>
                </c:pt>
                <c:pt idx="2">
                  <c:v>45965</c:v>
                </c:pt>
                <c:pt idx="3">
                  <c:v>45966</c:v>
                </c:pt>
                <c:pt idx="4">
                  <c:v>45967</c:v>
                </c:pt>
                <c:pt idx="5">
                  <c:v>45968</c:v>
                </c:pt>
              </c:numCache>
            </c:numRef>
          </c:cat>
          <c:val>
            <c:numRef>
              <c:f>DataShift!$AB$1197:$AV$1197</c:f>
              <c:numCache>
                <c:formatCode>#,##0_);[Red]\(#,##0\)</c:formatCode>
                <c:ptCount val="7"/>
                <c:pt idx="0">
                  <c:v>8979.9999999999964</c:v>
                </c:pt>
                <c:pt idx="1">
                  <c:v>7479.9999999999955</c:v>
                </c:pt>
                <c:pt idx="2">
                  <c:v>20820.000000000004</c:v>
                </c:pt>
                <c:pt idx="3">
                  <c:v>18540.000000000007</c:v>
                </c:pt>
                <c:pt idx="4">
                  <c:v>16279.999999999996</c:v>
                </c:pt>
                <c:pt idx="5">
                  <c:v>11379.999999999996</c:v>
                </c:pt>
                <c:pt idx="6">
                  <c:v>11379.999999999996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45940</c:v>
                </c:pt>
                <c:pt idx="1">
                  <c:v>45943</c:v>
                </c:pt>
                <c:pt idx="2">
                  <c:v>45965</c:v>
                </c:pt>
                <c:pt idx="3">
                  <c:v>45966</c:v>
                </c:pt>
                <c:pt idx="4">
                  <c:v>45967</c:v>
                </c:pt>
                <c:pt idx="5">
                  <c:v>45968</c:v>
                </c:pt>
              </c:numCache>
            </c:numRef>
          </c:cat>
          <c:val>
            <c:numRef>
              <c:f>DataShift!$AB$1296:$AV$1296</c:f>
              <c:numCache>
                <c:formatCode>#,##0_);[Red]\(#,##0\)</c:formatCode>
                <c:ptCount val="7"/>
                <c:pt idx="0">
                  <c:v>5140.0000000000091</c:v>
                </c:pt>
                <c:pt idx="1">
                  <c:v>5890.0000000000091</c:v>
                </c:pt>
                <c:pt idx="2">
                  <c:v>-775</c:v>
                </c:pt>
                <c:pt idx="3">
                  <c:v>364.99999999999773</c:v>
                </c:pt>
                <c:pt idx="4">
                  <c:v>1495.0000000000045</c:v>
                </c:pt>
                <c:pt idx="5">
                  <c:v>3945.0000000000045</c:v>
                </c:pt>
                <c:pt idx="6">
                  <c:v>3945.0000000000045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870.1</c:v>
                </c:pt>
                <c:pt idx="1">
                  <c:v>887.7</c:v>
                </c:pt>
                <c:pt idx="2">
                  <c:v>894.4</c:v>
                </c:pt>
                <c:pt idx="3">
                  <c:v>908.1</c:v>
                </c:pt>
                <c:pt idx="4">
                  <c:v>907.4</c:v>
                </c:pt>
                <c:pt idx="5">
                  <c:v>937.5</c:v>
                </c:pt>
                <c:pt idx="6">
                  <c:v>918</c:v>
                </c:pt>
                <c:pt idx="7">
                  <c:v>906.6</c:v>
                </c:pt>
                <c:pt idx="8">
                  <c:v>895.3</c:v>
                </c:pt>
                <c:pt idx="9">
                  <c:v>870.8</c:v>
                </c:pt>
                <c:pt idx="10">
                  <c:v>870.8</c:v>
                </c:pt>
              </c:numCache>
            </c:numRef>
          </c:xVal>
          <c:yVal>
            <c:numRef>
              <c:f>ChaRSI!$P$35:$Z$35</c:f>
              <c:numCache>
                <c:formatCode>0</c:formatCode>
                <c:ptCount val="11"/>
                <c:pt idx="0">
                  <c:v>60</c:v>
                </c:pt>
                <c:pt idx="1">
                  <c:v>62</c:v>
                </c:pt>
                <c:pt idx="2">
                  <c:v>62</c:v>
                </c:pt>
                <c:pt idx="3">
                  <c:v>63</c:v>
                </c:pt>
                <c:pt idx="4">
                  <c:v>62</c:v>
                </c:pt>
                <c:pt idx="5">
                  <c:v>63</c:v>
                </c:pt>
                <c:pt idx="6">
                  <c:v>56</c:v>
                </c:pt>
                <c:pt idx="7">
                  <c:v>53</c:v>
                </c:pt>
                <c:pt idx="8">
                  <c:v>55</c:v>
                </c:pt>
                <c:pt idx="9">
                  <c:v>55</c:v>
                </c:pt>
                <c:pt idx="10">
                  <c:v>55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659.34</c:v>
                </c:pt>
                <c:pt idx="10">
                  <c:v>910.25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910.25</c:v>
                </c:pt>
                <c:pt idx="10">
                  <c:v>910.25</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813.9</c:v>
                </c:pt>
                <c:pt idx="10">
                  <c:v>813.9</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870.8</c:v>
                </c:pt>
                <c:pt idx="10">
                  <c:v>870.8</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659.34</c:v>
                </c:pt>
                <c:pt idx="10" formatCode="0.00">
                  <c:v>659.34</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F567CEB-33D4-4C4D-AA30-B4BE30E82B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379E9F94-B9DF-9D46-B8AD-583D182A9B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51941ECB-3421-6341-AEB7-52C5997214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C2F17423-E390-4144-BD4C-8167D491EB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7F08A60-DB19-1242-9255-6917531D96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0652892C-3CE2-374C-A1D1-280B1AB377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924F2E17-F848-944F-B723-C8643F7A44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80731E0B-560A-D14C-B693-77DD453732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0EADF581-0155-FF4B-9892-39CD62B62A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5CC50179-6492-DC47-9616-BAC28F46D2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913FA849-3E9F-5043-A610-4A341553A5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870.1</c:v>
                </c:pt>
                <c:pt idx="1">
                  <c:v>887.7</c:v>
                </c:pt>
                <c:pt idx="2">
                  <c:v>894.4</c:v>
                </c:pt>
                <c:pt idx="3">
                  <c:v>908.1</c:v>
                </c:pt>
                <c:pt idx="4">
                  <c:v>907.4</c:v>
                </c:pt>
                <c:pt idx="5">
                  <c:v>937.5</c:v>
                </c:pt>
                <c:pt idx="6">
                  <c:v>918</c:v>
                </c:pt>
                <c:pt idx="7">
                  <c:v>906.6</c:v>
                </c:pt>
                <c:pt idx="8">
                  <c:v>895.3</c:v>
                </c:pt>
                <c:pt idx="9">
                  <c:v>870.8</c:v>
                </c:pt>
                <c:pt idx="10">
                  <c:v>870.8</c:v>
                </c:pt>
              </c:numCache>
            </c:numRef>
          </c:xVal>
          <c:yVal>
            <c:numRef>
              <c:f>ChaRSI!$P$36:$Z$36</c:f>
              <c:numCache>
                <c:formatCode>0%</c:formatCode>
                <c:ptCount val="11"/>
                <c:pt idx="0">
                  <c:v>0.66238980546663384</c:v>
                </c:pt>
                <c:pt idx="1">
                  <c:v>0.93860648829515581</c:v>
                </c:pt>
                <c:pt idx="2">
                  <c:v>0.62959608538686995</c:v>
                </c:pt>
                <c:pt idx="3">
                  <c:v>0.70439053270361551</c:v>
                </c:pt>
                <c:pt idx="4">
                  <c:v>0.55103540144512175</c:v>
                </c:pt>
                <c:pt idx="5">
                  <c:v>0.97038282181975921</c:v>
                </c:pt>
                <c:pt idx="6">
                  <c:v>0.91785407110091743</c:v>
                </c:pt>
                <c:pt idx="7">
                  <c:v>1.2120666350052971</c:v>
                </c:pt>
                <c:pt idx="8">
                  <c:v>0.8690636176438713</c:v>
                </c:pt>
                <c:pt idx="9">
                  <c:v>1.4227731762002704</c:v>
                </c:pt>
                <c:pt idx="10">
                  <c:v>1.4227731762002704</c:v>
                </c:pt>
              </c:numCache>
            </c:numRef>
          </c:yVal>
          <c:smooth val="1"/>
          <c:extLst>
            <c:ext xmlns:c15="http://schemas.microsoft.com/office/drawing/2012/chart" uri="{02D57815-91ED-43cb-92C2-25804820EDAC}">
              <c15:datalabelsRange>
                <c15:f>ChaCha!$P$33:$Z$33</c15:f>
                <c15:dlblRangeCache>
                  <c:ptCount val="11"/>
                  <c:pt idx="0">
                    <c:v>24-Oct</c:v>
                  </c:pt>
                  <c:pt idx="10">
                    <c:v>7-Nov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46.875"/>
          <c:min val="652.7466000000000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ASML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849.8</c:v>
                </c:pt>
                <c:pt idx="1">
                  <c:v>842.3</c:v>
                </c:pt>
                <c:pt idx="2">
                  <c:v>844</c:v>
                </c:pt>
                <c:pt idx="3">
                  <c:v>846.6</c:v>
                </c:pt>
                <c:pt idx="4">
                  <c:v>873</c:v>
                </c:pt>
                <c:pt idx="5">
                  <c:v>877.4</c:v>
                </c:pt>
                <c:pt idx="6">
                  <c:v>875.7</c:v>
                </c:pt>
                <c:pt idx="7">
                  <c:v>899</c:v>
                </c:pt>
                <c:pt idx="8">
                  <c:v>889.8</c:v>
                </c:pt>
                <c:pt idx="9">
                  <c:v>870.1</c:v>
                </c:pt>
                <c:pt idx="10">
                  <c:v>870.1</c:v>
                </c:pt>
                <c:pt idx="11">
                  <c:v>887.7</c:v>
                </c:pt>
                <c:pt idx="12">
                  <c:v>894.4</c:v>
                </c:pt>
                <c:pt idx="13">
                  <c:v>908.1</c:v>
                </c:pt>
                <c:pt idx="14">
                  <c:v>907.4</c:v>
                </c:pt>
                <c:pt idx="15">
                  <c:v>937.5</c:v>
                </c:pt>
                <c:pt idx="16">
                  <c:v>918</c:v>
                </c:pt>
                <c:pt idx="17">
                  <c:v>906.6</c:v>
                </c:pt>
                <c:pt idx="18">
                  <c:v>895.3</c:v>
                </c:pt>
                <c:pt idx="19">
                  <c:v>870.8</c:v>
                </c:pt>
                <c:pt idx="20">
                  <c:v>870.8</c:v>
                </c:pt>
              </c:numCache>
            </c:numRef>
          </c:xVal>
          <c:yVal>
            <c:numRef>
              <c:f>ChaRSI!$F$35:$Z$35</c:f>
              <c:numCache>
                <c:formatCode>0</c:formatCode>
                <c:ptCount val="21"/>
                <c:pt idx="0">
                  <c:v>80</c:v>
                </c:pt>
                <c:pt idx="1">
                  <c:v>77</c:v>
                </c:pt>
                <c:pt idx="2">
                  <c:v>77</c:v>
                </c:pt>
                <c:pt idx="3">
                  <c:v>73</c:v>
                </c:pt>
                <c:pt idx="4">
                  <c:v>76</c:v>
                </c:pt>
                <c:pt idx="5">
                  <c:v>70</c:v>
                </c:pt>
                <c:pt idx="6">
                  <c:v>70</c:v>
                </c:pt>
                <c:pt idx="7">
                  <c:v>72</c:v>
                </c:pt>
                <c:pt idx="8">
                  <c:v>68</c:v>
                </c:pt>
                <c:pt idx="9">
                  <c:v>61</c:v>
                </c:pt>
                <c:pt idx="10">
                  <c:v>60</c:v>
                </c:pt>
                <c:pt idx="11">
                  <c:v>62</c:v>
                </c:pt>
                <c:pt idx="12">
                  <c:v>62</c:v>
                </c:pt>
                <c:pt idx="13">
                  <c:v>63</c:v>
                </c:pt>
                <c:pt idx="14">
                  <c:v>62</c:v>
                </c:pt>
                <c:pt idx="15">
                  <c:v>63</c:v>
                </c:pt>
                <c:pt idx="16">
                  <c:v>56</c:v>
                </c:pt>
                <c:pt idx="17">
                  <c:v>53</c:v>
                </c:pt>
                <c:pt idx="18">
                  <c:v>55</c:v>
                </c:pt>
                <c:pt idx="19">
                  <c:v>55</c:v>
                </c:pt>
                <c:pt idx="20">
                  <c:v>55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910.25</c:v>
                </c:pt>
                <c:pt idx="10">
                  <c:v>910.25</c:v>
                </c:pt>
                <c:pt idx="20">
                  <c:v>910.25</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813.9</c:v>
                </c:pt>
                <c:pt idx="10">
                  <c:v>813.9</c:v>
                </c:pt>
                <c:pt idx="20">
                  <c:v>813.9</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636.70000000000005</c:v>
                </c:pt>
                <c:pt idx="10">
                  <c:v>636.70000000000005</c:v>
                </c:pt>
                <c:pt idx="20">
                  <c:v>636.70000000000005</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945</c:v>
                </c:pt>
                <c:pt idx="10">
                  <c:v>945</c:v>
                </c:pt>
                <c:pt idx="20">
                  <c:v>945</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982.8</c:v>
                </c:pt>
                <c:pt idx="10">
                  <c:v>982.8</c:v>
                </c:pt>
                <c:pt idx="20">
                  <c:v>982.8</c:v>
                </c:pt>
              </c:numCache>
            </c:numRef>
          </c:xVal>
          <c:yVal>
            <c:numRef>
              <c:f>ChaRSI!$F$43:$Z$43</c:f>
              <c:numCache>
                <c:formatCode>General</c:formatCode>
                <c:ptCount val="21"/>
                <c:pt idx="0" formatCode="0">
                  <c:v>69.300000000000011</c:v>
                </c:pt>
                <c:pt idx="10" formatCode="0">
                  <c:v>69.300000000000011</c:v>
                </c:pt>
                <c:pt idx="20" formatCode="0">
                  <c:v>62.370000000000012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599.29999999999995</c:v>
                </c:pt>
                <c:pt idx="10">
                  <c:v>599.29999999999995</c:v>
                </c:pt>
                <c:pt idx="20">
                  <c:v>599.29999999999995</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870.8</c:v>
                </c:pt>
                <c:pt idx="10">
                  <c:v>870.8</c:v>
                </c:pt>
                <c:pt idx="20">
                  <c:v>870.8</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659.34</c:v>
                </c:pt>
                <c:pt idx="10" formatCode="0.00">
                  <c:v>659.34</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849.8</c:v>
                </c:pt>
                <c:pt idx="1">
                  <c:v>842.3</c:v>
                </c:pt>
                <c:pt idx="2">
                  <c:v>844</c:v>
                </c:pt>
                <c:pt idx="3">
                  <c:v>846.6</c:v>
                </c:pt>
                <c:pt idx="4">
                  <c:v>873</c:v>
                </c:pt>
                <c:pt idx="5">
                  <c:v>877.4</c:v>
                </c:pt>
                <c:pt idx="6">
                  <c:v>875.7</c:v>
                </c:pt>
                <c:pt idx="7">
                  <c:v>899</c:v>
                </c:pt>
                <c:pt idx="8">
                  <c:v>889.8</c:v>
                </c:pt>
                <c:pt idx="9">
                  <c:v>870.1</c:v>
                </c:pt>
                <c:pt idx="10">
                  <c:v>870.1</c:v>
                </c:pt>
                <c:pt idx="11">
                  <c:v>887.7</c:v>
                </c:pt>
                <c:pt idx="12">
                  <c:v>894.4</c:v>
                </c:pt>
                <c:pt idx="13">
                  <c:v>908.1</c:v>
                </c:pt>
                <c:pt idx="14">
                  <c:v>907.4</c:v>
                </c:pt>
                <c:pt idx="15">
                  <c:v>937.5</c:v>
                </c:pt>
                <c:pt idx="16">
                  <c:v>918</c:v>
                </c:pt>
                <c:pt idx="17">
                  <c:v>906.6</c:v>
                </c:pt>
                <c:pt idx="18">
                  <c:v>895.3</c:v>
                </c:pt>
                <c:pt idx="19">
                  <c:v>870.8</c:v>
                </c:pt>
                <c:pt idx="20">
                  <c:v>870.8</c:v>
                </c:pt>
              </c:numCache>
            </c:numRef>
          </c:xVal>
          <c:yVal>
            <c:numRef>
              <c:f>ChaRSI!$F$36:$Z$36</c:f>
              <c:numCache>
                <c:formatCode>0%</c:formatCode>
                <c:ptCount val="21"/>
                <c:pt idx="0">
                  <c:v>1.0812065688661876</c:v>
                </c:pt>
                <c:pt idx="1">
                  <c:v>0.24814102564102564</c:v>
                </c:pt>
                <c:pt idx="2">
                  <c:v>1.0146557796154749</c:v>
                </c:pt>
                <c:pt idx="3">
                  <c:v>0.9212649675214567</c:v>
                </c:pt>
                <c:pt idx="4">
                  <c:v>1.4815572344549928</c:v>
                </c:pt>
                <c:pt idx="5">
                  <c:v>0.87383194989810631</c:v>
                </c:pt>
                <c:pt idx="6">
                  <c:v>1.0246818701744351</c:v>
                </c:pt>
                <c:pt idx="7">
                  <c:v>0.63246115718234674</c:v>
                </c:pt>
                <c:pt idx="8">
                  <c:v>0.53697097512153269</c:v>
                </c:pt>
                <c:pt idx="9">
                  <c:v>0.66238980546663384</c:v>
                </c:pt>
                <c:pt idx="10">
                  <c:v>0.66238980546663384</c:v>
                </c:pt>
                <c:pt idx="11">
                  <c:v>0.93860648829515581</c:v>
                </c:pt>
                <c:pt idx="12">
                  <c:v>0.62959608538686995</c:v>
                </c:pt>
                <c:pt idx="13">
                  <c:v>0.70439053270361551</c:v>
                </c:pt>
                <c:pt idx="14">
                  <c:v>0.55103540144512175</c:v>
                </c:pt>
                <c:pt idx="15">
                  <c:v>0.97038282181975921</c:v>
                </c:pt>
                <c:pt idx="16">
                  <c:v>0.91785407110091743</c:v>
                </c:pt>
                <c:pt idx="17">
                  <c:v>1.2120666350052971</c:v>
                </c:pt>
                <c:pt idx="18">
                  <c:v>0.8690636176438713</c:v>
                </c:pt>
                <c:pt idx="19">
                  <c:v>1.4227731762002704</c:v>
                </c:pt>
                <c:pt idx="20">
                  <c:v>1.4227731762002704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92.62799999999993"/>
          <c:min val="593.306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ASML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659.34</c:v>
                </c:pt>
                <c:pt idx="10">
                  <c:v>910.25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910.25</c:v>
                </c:pt>
                <c:pt idx="10">
                  <c:v>910.25</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813.9</c:v>
                </c:pt>
                <c:pt idx="10">
                  <c:v>813.9</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870.8</c:v>
                </c:pt>
                <c:pt idx="10">
                  <c:v>870.8</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659.34</c:v>
                </c:pt>
                <c:pt idx="10" formatCode="0.00">
                  <c:v>659.34</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870.1</c:v>
                </c:pt>
                <c:pt idx="1">
                  <c:v>887.7</c:v>
                </c:pt>
                <c:pt idx="2">
                  <c:v>894.4</c:v>
                </c:pt>
                <c:pt idx="3">
                  <c:v>908.1</c:v>
                </c:pt>
                <c:pt idx="4">
                  <c:v>907.4</c:v>
                </c:pt>
                <c:pt idx="5">
                  <c:v>937.5</c:v>
                </c:pt>
                <c:pt idx="6">
                  <c:v>918</c:v>
                </c:pt>
                <c:pt idx="7">
                  <c:v>906.6</c:v>
                </c:pt>
                <c:pt idx="8">
                  <c:v>895.3</c:v>
                </c:pt>
                <c:pt idx="9">
                  <c:v>870.8</c:v>
                </c:pt>
                <c:pt idx="10">
                  <c:v>870.8</c:v>
                </c:pt>
              </c:numCache>
            </c:numRef>
          </c:xVal>
          <c:yVal>
            <c:numRef>
              <c:f>ChaRSI!$P$35:$Z$35</c:f>
              <c:numCache>
                <c:formatCode>0</c:formatCode>
                <c:ptCount val="11"/>
                <c:pt idx="0">
                  <c:v>60</c:v>
                </c:pt>
                <c:pt idx="1">
                  <c:v>62</c:v>
                </c:pt>
                <c:pt idx="2">
                  <c:v>62</c:v>
                </c:pt>
                <c:pt idx="3">
                  <c:v>63</c:v>
                </c:pt>
                <c:pt idx="4">
                  <c:v>62</c:v>
                </c:pt>
                <c:pt idx="5">
                  <c:v>63</c:v>
                </c:pt>
                <c:pt idx="6">
                  <c:v>56</c:v>
                </c:pt>
                <c:pt idx="7">
                  <c:v>53</c:v>
                </c:pt>
                <c:pt idx="8">
                  <c:v>55</c:v>
                </c:pt>
                <c:pt idx="9">
                  <c:v>55</c:v>
                </c:pt>
                <c:pt idx="10">
                  <c:v>55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857E65D-0BC7-9E41-8E8B-C0C3B4FB8E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23C28AA3-7581-7047-BFEB-1B20720BA9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1E3D9B81-072C-6945-945A-B8FBCBEFAF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D335F6CA-4A8D-3749-ACFA-CFFC2300BC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6A0EEAED-A078-BB42-BD86-F447D5880E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E929603-CC48-8049-9072-9B91316897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961C2EE6-078B-534F-A964-477C581448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2AAF54F3-C189-5A4C-A410-B4261B93BF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9E5A1D0-DE08-CF41-B3FE-23D72057CE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2F062E1A-A077-CB44-9C66-51E6640C33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EAA3E31A-E768-7D40-A1AC-BBD8D6C2D6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870.1</c:v>
                </c:pt>
                <c:pt idx="1">
                  <c:v>887.7</c:v>
                </c:pt>
                <c:pt idx="2">
                  <c:v>894.4</c:v>
                </c:pt>
                <c:pt idx="3">
                  <c:v>908.1</c:v>
                </c:pt>
                <c:pt idx="4">
                  <c:v>907.4</c:v>
                </c:pt>
                <c:pt idx="5">
                  <c:v>937.5</c:v>
                </c:pt>
                <c:pt idx="6">
                  <c:v>918</c:v>
                </c:pt>
                <c:pt idx="7">
                  <c:v>906.6</c:v>
                </c:pt>
                <c:pt idx="8">
                  <c:v>895.3</c:v>
                </c:pt>
                <c:pt idx="9">
                  <c:v>870.8</c:v>
                </c:pt>
                <c:pt idx="10">
                  <c:v>870.8</c:v>
                </c:pt>
              </c:numCache>
            </c:numRef>
          </c:xVal>
          <c:yVal>
            <c:numRef>
              <c:f>ChaRSI!$P$36:$Z$36</c:f>
              <c:numCache>
                <c:formatCode>0%</c:formatCode>
                <c:ptCount val="11"/>
                <c:pt idx="0">
                  <c:v>0.66238980546663384</c:v>
                </c:pt>
                <c:pt idx="1">
                  <c:v>0.93860648829515581</c:v>
                </c:pt>
                <c:pt idx="2">
                  <c:v>0.62959608538686995</c:v>
                </c:pt>
                <c:pt idx="3">
                  <c:v>0.70439053270361551</c:v>
                </c:pt>
                <c:pt idx="4">
                  <c:v>0.55103540144512175</c:v>
                </c:pt>
                <c:pt idx="5">
                  <c:v>0.97038282181975921</c:v>
                </c:pt>
                <c:pt idx="6">
                  <c:v>0.91785407110091743</c:v>
                </c:pt>
                <c:pt idx="7">
                  <c:v>1.2120666350052971</c:v>
                </c:pt>
                <c:pt idx="8">
                  <c:v>0.8690636176438713</c:v>
                </c:pt>
                <c:pt idx="9">
                  <c:v>1.4227731762002704</c:v>
                </c:pt>
                <c:pt idx="10">
                  <c:v>1.4227731762002704</c:v>
                </c:pt>
              </c:numCache>
            </c:numRef>
          </c:yVal>
          <c:smooth val="1"/>
          <c:extLst>
            <c:ext xmlns:c15="http://schemas.microsoft.com/office/drawing/2012/chart" uri="{02D57815-91ED-43cb-92C2-25804820EDAC}">
              <c15:datalabelsRange>
                <c15:f>ChaCha!$P$33:$Z$33</c15:f>
                <c15:dlblRangeCache>
                  <c:ptCount val="11"/>
                  <c:pt idx="0">
                    <c:v>24-Oct</c:v>
                  </c:pt>
                  <c:pt idx="10">
                    <c:v>7-Nov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46.875"/>
          <c:min val="861.3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870.1</c:v>
                </c:pt>
                <c:pt idx="1">
                  <c:v>887.7</c:v>
                </c:pt>
                <c:pt idx="2">
                  <c:v>894.4</c:v>
                </c:pt>
                <c:pt idx="3">
                  <c:v>908.1</c:v>
                </c:pt>
                <c:pt idx="4">
                  <c:v>907.4</c:v>
                </c:pt>
                <c:pt idx="5">
                  <c:v>937.5</c:v>
                </c:pt>
                <c:pt idx="6">
                  <c:v>918</c:v>
                </c:pt>
                <c:pt idx="7">
                  <c:v>906.6</c:v>
                </c:pt>
                <c:pt idx="8">
                  <c:v>895.3</c:v>
                </c:pt>
                <c:pt idx="9">
                  <c:v>870.8</c:v>
                </c:pt>
                <c:pt idx="10">
                  <c:v>870.8</c:v>
                </c:pt>
              </c:numCache>
            </c:numRef>
          </c:xVal>
          <c:yVal>
            <c:numRef>
              <c:f>ChaCha!$P$35:$Z$35</c:f>
              <c:numCache>
                <c:formatCode>0</c:formatCode>
                <c:ptCount val="11"/>
                <c:pt idx="0">
                  <c:v>-359.20177383592016</c:v>
                </c:pt>
                <c:pt idx="1">
                  <c:v>328.18127737818401</c:v>
                </c:pt>
                <c:pt idx="2">
                  <c:v>122.45957492834353</c:v>
                </c:pt>
                <c:pt idx="3">
                  <c:v>248.52090206046188</c:v>
                </c:pt>
                <c:pt idx="4">
                  <c:v>16.107295441025361</c:v>
                </c:pt>
                <c:pt idx="5">
                  <c:v>319.40403439511113</c:v>
                </c:pt>
                <c:pt idx="6">
                  <c:v>-148.8399762046401</c:v>
                </c:pt>
                <c:pt idx="7">
                  <c:v>-201.47098588502516</c:v>
                </c:pt>
                <c:pt idx="8">
                  <c:v>-202.21729490022173</c:v>
                </c:pt>
                <c:pt idx="9">
                  <c:v>-443.9727434968363</c:v>
                </c:pt>
                <c:pt idx="10">
                  <c:v>-443.9727434968363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910.25</c:v>
                </c:pt>
                <c:pt idx="10">
                  <c:v>910.25</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813.9</c:v>
                </c:pt>
                <c:pt idx="10">
                  <c:v>813.9</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870.8</c:v>
                </c:pt>
                <c:pt idx="10">
                  <c:v>870.8</c:v>
                </c:pt>
              </c:numCache>
            </c:numRef>
          </c:xVal>
          <c:yVal>
            <c:numRef>
              <c:f>ChaCha!$P$43:$Z$43</c:f>
              <c:numCache>
                <c:formatCode>General</c:formatCode>
                <c:ptCount val="11"/>
                <c:pt idx="0" formatCode="0">
                  <c:v>1070.7911957168353</c:v>
                </c:pt>
                <c:pt idx="10" formatCode="0">
                  <c:v>-488.37001784651994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659.34</c:v>
                </c:pt>
                <c:pt idx="10" formatCode="0.00">
                  <c:v>659.34</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82B5142-3362-3745-8AAC-2DCEFD86617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138315B0-8C81-FD43-9FDE-5D46B40EBB7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77DAE326-6795-9E40-A040-F2308E864E0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412AC8B9-767B-0643-819E-20D5C0093E8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BC545EE8-DFCF-5B4F-90E3-8D70A04E0AE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11413B9-9878-A346-B0AC-5CDEDEF18F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25BE9C73-432C-8E4C-91CF-5F675B0389E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9E5FAEFB-E2F0-0C4C-83DB-CECC73DD0F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219EFC0-3C8B-F342-811E-A5173EA0283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F96B7088-8E5D-D443-B885-BEC4F1271CD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D45A49A7-E655-434A-9C9B-24E0C573F0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870.1</c:v>
                </c:pt>
                <c:pt idx="1">
                  <c:v>887.7</c:v>
                </c:pt>
                <c:pt idx="2">
                  <c:v>894.4</c:v>
                </c:pt>
                <c:pt idx="3">
                  <c:v>908.1</c:v>
                </c:pt>
                <c:pt idx="4">
                  <c:v>907.4</c:v>
                </c:pt>
                <c:pt idx="5">
                  <c:v>937.5</c:v>
                </c:pt>
                <c:pt idx="6">
                  <c:v>918</c:v>
                </c:pt>
                <c:pt idx="7">
                  <c:v>906.6</c:v>
                </c:pt>
                <c:pt idx="8">
                  <c:v>895.3</c:v>
                </c:pt>
                <c:pt idx="9">
                  <c:v>870.8</c:v>
                </c:pt>
                <c:pt idx="10">
                  <c:v>870.8</c:v>
                </c:pt>
              </c:numCache>
            </c:numRef>
          </c:xVal>
          <c:yVal>
            <c:numRef>
              <c:f>ChaCha!$P$36:$Z$36</c:f>
              <c:numCache>
                <c:formatCode>0</c:formatCode>
                <c:ptCount val="11"/>
                <c:pt idx="0">
                  <c:v>107.46684421609982</c:v>
                </c:pt>
                <c:pt idx="1">
                  <c:v>152.2805399862348</c:v>
                </c:pt>
                <c:pt idx="2">
                  <c:v>102.14635531667351</c:v>
                </c:pt>
                <c:pt idx="3">
                  <c:v>114.28108799474592</c:v>
                </c:pt>
                <c:pt idx="4">
                  <c:v>89.400584302383066</c:v>
                </c:pt>
                <c:pt idx="5">
                  <c:v>157.43596698173585</c:v>
                </c:pt>
                <c:pt idx="6">
                  <c:v>148.91364519510856</c:v>
                </c:pt>
                <c:pt idx="7">
                  <c:v>196.64701233118228</c:v>
                </c:pt>
                <c:pt idx="8">
                  <c:v>140.99782883195144</c:v>
                </c:pt>
                <c:pt idx="9">
                  <c:v>230.83227129959502</c:v>
                </c:pt>
                <c:pt idx="10">
                  <c:v>230.83227129959502</c:v>
                </c:pt>
              </c:numCache>
            </c:numRef>
          </c:yVal>
          <c:smooth val="1"/>
          <c:extLst>
            <c:ext xmlns:c15="http://schemas.microsoft.com/office/drawing/2012/chart" uri="{02D57815-91ED-43cb-92C2-25804820EDAC}">
              <c15:datalabelsRange>
                <c15:f>ChaCha!$P$33:$Z$33</c15:f>
                <c15:dlblRangeCache>
                  <c:ptCount val="11"/>
                  <c:pt idx="0">
                    <c:v>24-Oct</c:v>
                  </c:pt>
                  <c:pt idx="10">
                    <c:v>7-Nov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870.1</c:v>
                </c:pt>
                <c:pt idx="1">
                  <c:v>887.7</c:v>
                </c:pt>
                <c:pt idx="2">
                  <c:v>894.4</c:v>
                </c:pt>
                <c:pt idx="3">
                  <c:v>908.1</c:v>
                </c:pt>
                <c:pt idx="4">
                  <c:v>907.4</c:v>
                </c:pt>
                <c:pt idx="5">
                  <c:v>937.5</c:v>
                </c:pt>
                <c:pt idx="6">
                  <c:v>918</c:v>
                </c:pt>
                <c:pt idx="7">
                  <c:v>906.6</c:v>
                </c:pt>
                <c:pt idx="8">
                  <c:v>895.3</c:v>
                </c:pt>
                <c:pt idx="9">
                  <c:v>870.8</c:v>
                </c:pt>
                <c:pt idx="10">
                  <c:v>870.8</c:v>
                </c:pt>
              </c:numCache>
            </c:numRef>
          </c:xVal>
          <c:yVal>
            <c:numRef>
              <c:f>ChaCha!$P$60:$Z$60</c:f>
              <c:numCache>
                <c:formatCode>0%</c:formatCode>
                <c:ptCount val="11"/>
                <c:pt idx="0">
                  <c:v>162.24109026012655</c:v>
                </c:pt>
                <c:pt idx="1">
                  <c:v>162.24109026012655</c:v>
                </c:pt>
                <c:pt idx="2">
                  <c:v>162.24109026012655</c:v>
                </c:pt>
                <c:pt idx="3">
                  <c:v>162.24109026012655</c:v>
                </c:pt>
                <c:pt idx="4">
                  <c:v>162.24109026012655</c:v>
                </c:pt>
                <c:pt idx="5">
                  <c:v>162.24109026012655</c:v>
                </c:pt>
                <c:pt idx="6">
                  <c:v>162.24109026012655</c:v>
                </c:pt>
                <c:pt idx="7">
                  <c:v>162.24109026012655</c:v>
                </c:pt>
                <c:pt idx="8">
                  <c:v>162.24109026012655</c:v>
                </c:pt>
                <c:pt idx="9">
                  <c:v>162.24109026012655</c:v>
                </c:pt>
                <c:pt idx="10">
                  <c:v>162.24109026012655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46.875"/>
          <c:min val="805.760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ASML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849.8</c:v>
                </c:pt>
                <c:pt idx="1">
                  <c:v>842.3</c:v>
                </c:pt>
                <c:pt idx="2">
                  <c:v>844</c:v>
                </c:pt>
                <c:pt idx="3">
                  <c:v>846.6</c:v>
                </c:pt>
                <c:pt idx="4">
                  <c:v>873</c:v>
                </c:pt>
                <c:pt idx="5">
                  <c:v>877.4</c:v>
                </c:pt>
                <c:pt idx="6">
                  <c:v>875.7</c:v>
                </c:pt>
                <c:pt idx="7">
                  <c:v>899</c:v>
                </c:pt>
                <c:pt idx="8">
                  <c:v>889.8</c:v>
                </c:pt>
                <c:pt idx="9">
                  <c:v>870.1</c:v>
                </c:pt>
                <c:pt idx="10">
                  <c:v>870.1</c:v>
                </c:pt>
                <c:pt idx="11">
                  <c:v>887.7</c:v>
                </c:pt>
                <c:pt idx="12">
                  <c:v>894.4</c:v>
                </c:pt>
                <c:pt idx="13">
                  <c:v>908.1</c:v>
                </c:pt>
                <c:pt idx="14">
                  <c:v>907.4</c:v>
                </c:pt>
                <c:pt idx="15">
                  <c:v>937.5</c:v>
                </c:pt>
                <c:pt idx="16">
                  <c:v>918</c:v>
                </c:pt>
                <c:pt idx="17">
                  <c:v>906.6</c:v>
                </c:pt>
                <c:pt idx="18">
                  <c:v>895.3</c:v>
                </c:pt>
                <c:pt idx="19">
                  <c:v>870.8</c:v>
                </c:pt>
                <c:pt idx="20">
                  <c:v>870.8</c:v>
                </c:pt>
              </c:numCache>
            </c:numRef>
          </c:xVal>
          <c:yVal>
            <c:numRef>
              <c:f>ChaCha!$F$35:$Z$35</c:f>
              <c:numCache>
                <c:formatCode>0</c:formatCode>
                <c:ptCount val="21"/>
                <c:pt idx="0">
                  <c:v>-38.094207993077724</c:v>
                </c:pt>
                <c:pt idx="1">
                  <c:v>-143.1939862635877</c:v>
                </c:pt>
                <c:pt idx="2">
                  <c:v>600</c:v>
                </c:pt>
                <c:pt idx="3">
                  <c:v>49.98647990914499</c:v>
                </c:pt>
                <c:pt idx="4">
                  <c:v>505.93261586717864</c:v>
                </c:pt>
                <c:pt idx="5">
                  <c:v>81.76950949110379</c:v>
                </c:pt>
                <c:pt idx="6">
                  <c:v>-31.442323292412528</c:v>
                </c:pt>
                <c:pt idx="7">
                  <c:v>431.67486885511869</c:v>
                </c:pt>
                <c:pt idx="8">
                  <c:v>-166.03753177221353</c:v>
                </c:pt>
                <c:pt idx="9">
                  <c:v>-359.20177383592016</c:v>
                </c:pt>
                <c:pt idx="10">
                  <c:v>-359.20177383592016</c:v>
                </c:pt>
                <c:pt idx="11">
                  <c:v>328.18127737818401</c:v>
                </c:pt>
                <c:pt idx="12">
                  <c:v>122.45957492834353</c:v>
                </c:pt>
                <c:pt idx="13">
                  <c:v>248.52090206046188</c:v>
                </c:pt>
                <c:pt idx="14">
                  <c:v>16.107295441025361</c:v>
                </c:pt>
                <c:pt idx="15">
                  <c:v>319.40403439511113</c:v>
                </c:pt>
                <c:pt idx="16">
                  <c:v>-148.8399762046401</c:v>
                </c:pt>
                <c:pt idx="17">
                  <c:v>-201.47098588502516</c:v>
                </c:pt>
                <c:pt idx="18">
                  <c:v>-202.21729490022173</c:v>
                </c:pt>
                <c:pt idx="19">
                  <c:v>-443.9727434968363</c:v>
                </c:pt>
                <c:pt idx="20">
                  <c:v>-443.9727434968363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849.8</c:v>
                </c:pt>
                <c:pt idx="1">
                  <c:v>842.3</c:v>
                </c:pt>
                <c:pt idx="2">
                  <c:v>844</c:v>
                </c:pt>
                <c:pt idx="3">
                  <c:v>846.6</c:v>
                </c:pt>
                <c:pt idx="4">
                  <c:v>873</c:v>
                </c:pt>
                <c:pt idx="5">
                  <c:v>877.4</c:v>
                </c:pt>
                <c:pt idx="6">
                  <c:v>875.7</c:v>
                </c:pt>
                <c:pt idx="7">
                  <c:v>899</c:v>
                </c:pt>
                <c:pt idx="8">
                  <c:v>889.8</c:v>
                </c:pt>
                <c:pt idx="9">
                  <c:v>870.1</c:v>
                </c:pt>
                <c:pt idx="10">
                  <c:v>870.1</c:v>
                </c:pt>
                <c:pt idx="11">
                  <c:v>887.7</c:v>
                </c:pt>
                <c:pt idx="12">
                  <c:v>894.4</c:v>
                </c:pt>
                <c:pt idx="13">
                  <c:v>908.1</c:v>
                </c:pt>
                <c:pt idx="14">
                  <c:v>907.4</c:v>
                </c:pt>
                <c:pt idx="15">
                  <c:v>937.5</c:v>
                </c:pt>
                <c:pt idx="16">
                  <c:v>918</c:v>
                </c:pt>
                <c:pt idx="17">
                  <c:v>906.6</c:v>
                </c:pt>
                <c:pt idx="18">
                  <c:v>895.3</c:v>
                </c:pt>
                <c:pt idx="19">
                  <c:v>870.8</c:v>
                </c:pt>
                <c:pt idx="20">
                  <c:v>870.8</c:v>
                </c:pt>
              </c:numCache>
            </c:numRef>
          </c:xVal>
          <c:yVal>
            <c:numRef>
              <c:f>ChaCha!$F$36:$Z$36</c:f>
              <c:numCache>
                <c:formatCode>0</c:formatCode>
                <c:ptCount val="21"/>
                <c:pt idx="0">
                  <c:v>175.41613252926089</c:v>
                </c:pt>
                <c:pt idx="1">
                  <c:v>973.44654156075933</c:v>
                </c:pt>
                <c:pt idx="2">
                  <c:v>164.61885992355334</c:v>
                </c:pt>
                <c:pt idx="3">
                  <c:v>149.46703274914123</c:v>
                </c:pt>
                <c:pt idx="4">
                  <c:v>240.36946100075596</c:v>
                </c:pt>
                <c:pt idx="5">
                  <c:v>141.77144825560106</c:v>
                </c:pt>
                <c:pt idx="6">
                  <c:v>166.24550378688582</c:v>
                </c:pt>
                <c:pt idx="7">
                  <c:v>102.61118768844521</c:v>
                </c:pt>
                <c:pt idx="8">
                  <c:v>87.118756441760752</c:v>
                </c:pt>
                <c:pt idx="9">
                  <c:v>107.46684421609982</c:v>
                </c:pt>
                <c:pt idx="10">
                  <c:v>107.46684421609982</c:v>
                </c:pt>
                <c:pt idx="11">
                  <c:v>152.2805399862348</c:v>
                </c:pt>
                <c:pt idx="12">
                  <c:v>102.14635531667351</c:v>
                </c:pt>
                <c:pt idx="13">
                  <c:v>114.28108799474592</c:v>
                </c:pt>
                <c:pt idx="14">
                  <c:v>89.400584302383066</c:v>
                </c:pt>
                <c:pt idx="15">
                  <c:v>157.43596698173585</c:v>
                </c:pt>
                <c:pt idx="16">
                  <c:v>148.91364519510856</c:v>
                </c:pt>
                <c:pt idx="17">
                  <c:v>196.64701233118228</c:v>
                </c:pt>
                <c:pt idx="18">
                  <c:v>140.99782883195144</c:v>
                </c:pt>
                <c:pt idx="19">
                  <c:v>230.83227129959502</c:v>
                </c:pt>
                <c:pt idx="20">
                  <c:v>230.83227129959502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910.25</c:v>
                </c:pt>
                <c:pt idx="10">
                  <c:v>910.25</c:v>
                </c:pt>
                <c:pt idx="20">
                  <c:v>910.25</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813.9</c:v>
                </c:pt>
                <c:pt idx="10">
                  <c:v>813.9</c:v>
                </c:pt>
                <c:pt idx="20">
                  <c:v>813.9</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636.70000000000005</c:v>
                </c:pt>
                <c:pt idx="10">
                  <c:v>636.70000000000005</c:v>
                </c:pt>
                <c:pt idx="20">
                  <c:v>636.70000000000005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599.29999999999995</c:v>
                </c:pt>
                <c:pt idx="10">
                  <c:v>599.29999999999995</c:v>
                </c:pt>
                <c:pt idx="20">
                  <c:v>599.29999999999995</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870.8</c:v>
                </c:pt>
                <c:pt idx="10">
                  <c:v>870.8</c:v>
                </c:pt>
                <c:pt idx="20">
                  <c:v>870.8</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92.62799999999993"/>
          <c:min val="593.306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849.8</c:v>
                </c:pt>
                <c:pt idx="1">
                  <c:v>842.3</c:v>
                </c:pt>
                <c:pt idx="2">
                  <c:v>844</c:v>
                </c:pt>
                <c:pt idx="3">
                  <c:v>846.6</c:v>
                </c:pt>
                <c:pt idx="4">
                  <c:v>873</c:v>
                </c:pt>
                <c:pt idx="5">
                  <c:v>877.4</c:v>
                </c:pt>
                <c:pt idx="6">
                  <c:v>875.7</c:v>
                </c:pt>
                <c:pt idx="7">
                  <c:v>899</c:v>
                </c:pt>
                <c:pt idx="8">
                  <c:v>889.8</c:v>
                </c:pt>
                <c:pt idx="9">
                  <c:v>870.1</c:v>
                </c:pt>
                <c:pt idx="10">
                  <c:v>870.1</c:v>
                </c:pt>
                <c:pt idx="11">
                  <c:v>887.7</c:v>
                </c:pt>
                <c:pt idx="12">
                  <c:v>894.4</c:v>
                </c:pt>
                <c:pt idx="13">
                  <c:v>908.1</c:v>
                </c:pt>
                <c:pt idx="14">
                  <c:v>907.4</c:v>
                </c:pt>
                <c:pt idx="15">
                  <c:v>937.5</c:v>
                </c:pt>
                <c:pt idx="16">
                  <c:v>918</c:v>
                </c:pt>
                <c:pt idx="17">
                  <c:v>906.6</c:v>
                </c:pt>
                <c:pt idx="18">
                  <c:v>895.3</c:v>
                </c:pt>
                <c:pt idx="19">
                  <c:v>870.8</c:v>
                </c:pt>
                <c:pt idx="20">
                  <c:v>870.8</c:v>
                </c:pt>
              </c:numCache>
            </c:numRef>
          </c:xVal>
          <c:yVal>
            <c:numRef>
              <c:f>ChaCha!$F$35:$Z$35</c:f>
              <c:numCache>
                <c:formatCode>0</c:formatCode>
                <c:ptCount val="21"/>
                <c:pt idx="0">
                  <c:v>-38.094207993077724</c:v>
                </c:pt>
                <c:pt idx="1">
                  <c:v>-143.1939862635877</c:v>
                </c:pt>
                <c:pt idx="2">
                  <c:v>600</c:v>
                </c:pt>
                <c:pt idx="3">
                  <c:v>49.98647990914499</c:v>
                </c:pt>
                <c:pt idx="4">
                  <c:v>505.93261586717864</c:v>
                </c:pt>
                <c:pt idx="5">
                  <c:v>81.76950949110379</c:v>
                </c:pt>
                <c:pt idx="6">
                  <c:v>-31.442323292412528</c:v>
                </c:pt>
                <c:pt idx="7">
                  <c:v>431.67486885511869</c:v>
                </c:pt>
                <c:pt idx="8">
                  <c:v>-166.03753177221353</c:v>
                </c:pt>
                <c:pt idx="9">
                  <c:v>-359.20177383592016</c:v>
                </c:pt>
                <c:pt idx="10">
                  <c:v>-359.20177383592016</c:v>
                </c:pt>
                <c:pt idx="11">
                  <c:v>328.18127737818401</c:v>
                </c:pt>
                <c:pt idx="12">
                  <c:v>122.45957492834353</c:v>
                </c:pt>
                <c:pt idx="13">
                  <c:v>248.52090206046188</c:v>
                </c:pt>
                <c:pt idx="14">
                  <c:v>16.107295441025361</c:v>
                </c:pt>
                <c:pt idx="15">
                  <c:v>319.40403439511113</c:v>
                </c:pt>
                <c:pt idx="16">
                  <c:v>-148.8399762046401</c:v>
                </c:pt>
                <c:pt idx="17">
                  <c:v>-201.47098588502516</c:v>
                </c:pt>
                <c:pt idx="18">
                  <c:v>-202.21729490022173</c:v>
                </c:pt>
                <c:pt idx="19">
                  <c:v>-443.9727434968363</c:v>
                </c:pt>
                <c:pt idx="20">
                  <c:v>-443.9727434968363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910.25</c:v>
                </c:pt>
                <c:pt idx="10">
                  <c:v>910.25</c:v>
                </c:pt>
                <c:pt idx="20">
                  <c:v>910.25</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813.9</c:v>
                </c:pt>
                <c:pt idx="10">
                  <c:v>813.9</c:v>
                </c:pt>
                <c:pt idx="20">
                  <c:v>813.9</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636.70000000000005</c:v>
                </c:pt>
                <c:pt idx="10">
                  <c:v>636.70000000000005</c:v>
                </c:pt>
                <c:pt idx="20">
                  <c:v>636.70000000000005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870.8</c:v>
                </c:pt>
                <c:pt idx="10">
                  <c:v>870.8</c:v>
                </c:pt>
                <c:pt idx="20">
                  <c:v>870.8</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849.8</c:v>
                </c:pt>
                <c:pt idx="1">
                  <c:v>842.3</c:v>
                </c:pt>
                <c:pt idx="2">
                  <c:v>844</c:v>
                </c:pt>
                <c:pt idx="3">
                  <c:v>846.6</c:v>
                </c:pt>
                <c:pt idx="4">
                  <c:v>873</c:v>
                </c:pt>
                <c:pt idx="5">
                  <c:v>877.4</c:v>
                </c:pt>
                <c:pt idx="6">
                  <c:v>875.7</c:v>
                </c:pt>
                <c:pt idx="7">
                  <c:v>899</c:v>
                </c:pt>
                <c:pt idx="8">
                  <c:v>889.8</c:v>
                </c:pt>
                <c:pt idx="9">
                  <c:v>870.1</c:v>
                </c:pt>
                <c:pt idx="10">
                  <c:v>870.1</c:v>
                </c:pt>
                <c:pt idx="11">
                  <c:v>887.7</c:v>
                </c:pt>
                <c:pt idx="12">
                  <c:v>894.4</c:v>
                </c:pt>
                <c:pt idx="13">
                  <c:v>908.1</c:v>
                </c:pt>
                <c:pt idx="14">
                  <c:v>907.4</c:v>
                </c:pt>
                <c:pt idx="15">
                  <c:v>937.5</c:v>
                </c:pt>
                <c:pt idx="16">
                  <c:v>918</c:v>
                </c:pt>
                <c:pt idx="17">
                  <c:v>906.6</c:v>
                </c:pt>
                <c:pt idx="18">
                  <c:v>895.3</c:v>
                </c:pt>
                <c:pt idx="19">
                  <c:v>870.8</c:v>
                </c:pt>
                <c:pt idx="20">
                  <c:v>870.8</c:v>
                </c:pt>
              </c:numCache>
            </c:numRef>
          </c:xVal>
          <c:yVal>
            <c:numRef>
              <c:f>ChaCha!$F$36:$Z$36</c:f>
              <c:numCache>
                <c:formatCode>0</c:formatCode>
                <c:ptCount val="21"/>
                <c:pt idx="0">
                  <c:v>175.41613252926089</c:v>
                </c:pt>
                <c:pt idx="1">
                  <c:v>973.44654156075933</c:v>
                </c:pt>
                <c:pt idx="2">
                  <c:v>164.61885992355334</c:v>
                </c:pt>
                <c:pt idx="3">
                  <c:v>149.46703274914123</c:v>
                </c:pt>
                <c:pt idx="4">
                  <c:v>240.36946100075596</c:v>
                </c:pt>
                <c:pt idx="5">
                  <c:v>141.77144825560106</c:v>
                </c:pt>
                <c:pt idx="6">
                  <c:v>166.24550378688582</c:v>
                </c:pt>
                <c:pt idx="7">
                  <c:v>102.61118768844521</c:v>
                </c:pt>
                <c:pt idx="8">
                  <c:v>87.118756441760752</c:v>
                </c:pt>
                <c:pt idx="9">
                  <c:v>107.46684421609982</c:v>
                </c:pt>
                <c:pt idx="10">
                  <c:v>107.46684421609982</c:v>
                </c:pt>
                <c:pt idx="11">
                  <c:v>152.2805399862348</c:v>
                </c:pt>
                <c:pt idx="12">
                  <c:v>102.14635531667351</c:v>
                </c:pt>
                <c:pt idx="13">
                  <c:v>114.28108799474592</c:v>
                </c:pt>
                <c:pt idx="14">
                  <c:v>89.400584302383066</c:v>
                </c:pt>
                <c:pt idx="15">
                  <c:v>157.43596698173585</c:v>
                </c:pt>
                <c:pt idx="16">
                  <c:v>148.91364519510856</c:v>
                </c:pt>
                <c:pt idx="17">
                  <c:v>196.64701233118228</c:v>
                </c:pt>
                <c:pt idx="18">
                  <c:v>140.99782883195144</c:v>
                </c:pt>
                <c:pt idx="19">
                  <c:v>230.83227129959502</c:v>
                </c:pt>
                <c:pt idx="20">
                  <c:v>230.83227129959502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659.34</c:v>
                </c:pt>
                <c:pt idx="10" formatCode="0.00">
                  <c:v>659.34</c:v>
                </c:pt>
                <c:pt idx="20" formatCode="0.00">
                  <c:v>659.34</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92.62799999999993"/>
          <c:min val="630.3330000000000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Up:/100/72%</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Up:55/50/45%</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659.34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3100 x A=659.34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3100 x A=659.34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3100 x A=659.34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45968.870802858597</v>
          </cell>
        </row>
        <row r="3">
          <cell r="A3" t="str">
            <v>AAPL</v>
          </cell>
          <cell r="D3" t="str">
            <v>USD</v>
          </cell>
          <cell r="E3">
            <v>45968.870792939066</v>
          </cell>
          <cell r="F3">
            <v>269.77</v>
          </cell>
          <cell r="G3">
            <v>269.77</v>
          </cell>
          <cell r="H3">
            <v>267.99700000000001</v>
          </cell>
          <cell r="I3">
            <v>266.77999999999997</v>
          </cell>
          <cell r="J3">
            <v>272.29000000000002</v>
          </cell>
          <cell r="K3">
            <v>36.086100000000002</v>
          </cell>
          <cell r="L3">
            <v>-1.7729999999999999</v>
          </cell>
          <cell r="M3">
            <v>-6.5719999999999997E-3</v>
          </cell>
          <cell r="N3">
            <v>169.21010000000001</v>
          </cell>
          <cell r="O3">
            <v>277.32</v>
          </cell>
          <cell r="P3">
            <v>36177947</v>
          </cell>
          <cell r="Q3">
            <v>48006189</v>
          </cell>
          <cell r="R3">
            <v>1.1053999999999999</v>
          </cell>
        </row>
        <row r="4">
          <cell r="A4" t="str">
            <v>ADEA</v>
          </cell>
          <cell r="D4" t="str">
            <v>USD</v>
          </cell>
          <cell r="E4">
            <v>45968.870793055466</v>
          </cell>
          <cell r="F4">
            <v>14</v>
          </cell>
          <cell r="G4">
            <v>13.81</v>
          </cell>
          <cell r="H4">
            <v>14.045</v>
          </cell>
          <cell r="I4">
            <v>13.66</v>
          </cell>
          <cell r="J4">
            <v>14.095000000000001</v>
          </cell>
          <cell r="K4">
            <v>21.640999999999998</v>
          </cell>
          <cell r="L4">
            <v>4.4999999999999998E-2</v>
          </cell>
          <cell r="M4">
            <v>3.2140000000000003E-3</v>
          </cell>
          <cell r="N4">
            <v>10.59</v>
          </cell>
          <cell r="O4">
            <v>18.25</v>
          </cell>
          <cell r="P4">
            <v>1051262</v>
          </cell>
          <cell r="Q4">
            <v>757199</v>
          </cell>
          <cell r="R4">
            <v>2.3993000000000002</v>
          </cell>
        </row>
        <row r="5">
          <cell r="A5" t="str">
            <v>AET</v>
          </cell>
          <cell r="D5" t="str">
            <v>GBp</v>
          </cell>
          <cell r="E5">
            <v>45968.691200717185</v>
          </cell>
          <cell r="F5">
            <v>44.4</v>
          </cell>
          <cell r="G5">
            <v>44.7</v>
          </cell>
          <cell r="H5">
            <v>44.7</v>
          </cell>
          <cell r="I5">
            <v>44.7</v>
          </cell>
          <cell r="J5">
            <v>44.7</v>
          </cell>
          <cell r="K5">
            <v>3.8801999999999999</v>
          </cell>
          <cell r="L5">
            <v>0.3</v>
          </cell>
          <cell r="M5">
            <v>6.757E-3</v>
          </cell>
          <cell r="N5">
            <v>33.064999999999998</v>
          </cell>
          <cell r="O5">
            <v>56.2</v>
          </cell>
          <cell r="P5">
            <v>71429</v>
          </cell>
          <cell r="Q5">
            <v>312510</v>
          </cell>
          <cell r="R5">
            <v>1.6443000000000001</v>
          </cell>
        </row>
        <row r="6">
          <cell r="A6" t="str">
            <v>AMZN</v>
          </cell>
          <cell r="D6" t="str">
            <v>USD</v>
          </cell>
          <cell r="E6">
            <v>45968.870781133592</v>
          </cell>
          <cell r="F6">
            <v>243.04</v>
          </cell>
          <cell r="G6">
            <v>243</v>
          </cell>
          <cell r="H6">
            <v>244.56</v>
          </cell>
          <cell r="I6">
            <v>238.49</v>
          </cell>
          <cell r="J6">
            <v>244.9</v>
          </cell>
          <cell r="K6">
            <v>34.5473</v>
          </cell>
          <cell r="L6">
            <v>1.52</v>
          </cell>
          <cell r="M6">
            <v>6.2539999999999991E-3</v>
          </cell>
          <cell r="N6">
            <v>161.38</v>
          </cell>
          <cell r="O6">
            <v>258.60000000000002</v>
          </cell>
          <cell r="P6">
            <v>37371756</v>
          </cell>
          <cell r="Q6">
            <v>53833734</v>
          </cell>
          <cell r="R6">
            <v>1.3611</v>
          </cell>
        </row>
        <row r="7">
          <cell r="A7" t="str">
            <v>ALDNE</v>
          </cell>
          <cell r="D7" t="str">
            <v>EUR</v>
          </cell>
          <cell r="E7">
            <v>45968.708333333336</v>
          </cell>
          <cell r="F7">
            <v>0.78200000000000003</v>
          </cell>
          <cell r="G7">
            <v>0.78</v>
          </cell>
          <cell r="H7">
            <v>0.78</v>
          </cell>
          <cell r="I7">
            <v>0.76200000000000001</v>
          </cell>
          <cell r="J7">
            <v>0.78200000000000003</v>
          </cell>
          <cell r="K7">
            <v>0</v>
          </cell>
          <cell r="L7">
            <v>-2E-3</v>
          </cell>
          <cell r="M7">
            <v>-2.5580000000000004E-3</v>
          </cell>
          <cell r="N7">
            <v>0.65</v>
          </cell>
          <cell r="O7">
            <v>1.53</v>
          </cell>
          <cell r="P7">
            <v>2114</v>
          </cell>
          <cell r="Q7">
            <v>6470</v>
          </cell>
          <cell r="R7">
            <v>0.95709999999999995</v>
          </cell>
        </row>
        <row r="8">
          <cell r="A8" t="str">
            <v>ASML</v>
          </cell>
          <cell r="D8" t="str">
            <v>EUR</v>
          </cell>
          <cell r="E8">
            <v>45968.708333333336</v>
          </cell>
          <cell r="F8">
            <v>895.3</v>
          </cell>
          <cell r="G8">
            <v>899</v>
          </cell>
          <cell r="H8">
            <v>870.8</v>
          </cell>
          <cell r="I8">
            <v>870.8</v>
          </cell>
          <cell r="J8">
            <v>900.9</v>
          </cell>
          <cell r="K8">
            <v>33.435600000000001</v>
          </cell>
          <cell r="L8">
            <v>-24.5</v>
          </cell>
          <cell r="M8">
            <v>-2.7365E-2</v>
          </cell>
          <cell r="N8">
            <v>508.4</v>
          </cell>
          <cell r="O8">
            <v>938.6</v>
          </cell>
          <cell r="P8">
            <v>767828</v>
          </cell>
          <cell r="Q8">
            <v>539670</v>
          </cell>
          <cell r="R8">
            <v>2.1183000000000001</v>
          </cell>
        </row>
        <row r="9">
          <cell r="A9" t="str">
            <v>AVGO</v>
          </cell>
          <cell r="F9">
            <v>355.59</v>
          </cell>
          <cell r="G9">
            <v>354.18</v>
          </cell>
          <cell r="H9">
            <v>347.38499999999999</v>
          </cell>
          <cell r="I9">
            <v>337.27</v>
          </cell>
          <cell r="J9">
            <v>354.5</v>
          </cell>
          <cell r="K9">
            <v>89.050200000000004</v>
          </cell>
          <cell r="L9">
            <v>-8.2050000000000001</v>
          </cell>
          <cell r="M9">
            <v>-2.3073999999999997E-2</v>
          </cell>
          <cell r="O9">
            <v>386.48</v>
          </cell>
          <cell r="P9">
            <v>16935678</v>
          </cell>
          <cell r="Q9">
            <v>20913068</v>
          </cell>
          <cell r="R9">
            <v>1.2213000000000001</v>
          </cell>
        </row>
        <row r="10">
          <cell r="A10" t="str">
            <v>AZN</v>
          </cell>
          <cell r="F10">
            <v>83.77</v>
          </cell>
          <cell r="G10">
            <v>84.51</v>
          </cell>
          <cell r="H10">
            <v>84.555000000000007</v>
          </cell>
          <cell r="I10">
            <v>84.23</v>
          </cell>
          <cell r="J10">
            <v>85.15</v>
          </cell>
          <cell r="K10">
            <v>28.0914</v>
          </cell>
          <cell r="L10">
            <v>0.78500000000000003</v>
          </cell>
          <cell r="M10">
            <v>9.3710000000000009E-3</v>
          </cell>
          <cell r="N10">
            <v>61.24</v>
          </cell>
          <cell r="O10">
            <v>86.57</v>
          </cell>
          <cell r="P10">
            <v>3451912</v>
          </cell>
          <cell r="Q10">
            <v>5161133</v>
          </cell>
          <cell r="R10">
            <v>0.33260000000000001</v>
          </cell>
        </row>
        <row r="11">
          <cell r="A11" t="str">
            <v>BLDP</v>
          </cell>
          <cell r="D11" t="str">
            <v>USD</v>
          </cell>
          <cell r="E11">
            <v>45968.870794849216</v>
          </cell>
          <cell r="F11">
            <v>3.55</v>
          </cell>
          <cell r="G11">
            <v>3.41</v>
          </cell>
          <cell r="H11">
            <v>3.4849999999999999</v>
          </cell>
          <cell r="I11">
            <v>3.21</v>
          </cell>
          <cell r="J11">
            <v>3.5</v>
          </cell>
          <cell r="K11">
            <v>0</v>
          </cell>
          <cell r="L11">
            <v>-6.5000000000000002E-2</v>
          </cell>
          <cell r="M11">
            <v>-1.831E-2</v>
          </cell>
          <cell r="N11">
            <v>1</v>
          </cell>
          <cell r="O11">
            <v>4.0999999999999996</v>
          </cell>
          <cell r="P11">
            <v>5951226</v>
          </cell>
          <cell r="Q11">
            <v>8843858</v>
          </cell>
          <cell r="R11">
            <v>1.7018</v>
          </cell>
        </row>
        <row r="12">
          <cell r="A12" t="str">
            <v>BMRA</v>
          </cell>
          <cell r="D12" t="str">
            <v>USD</v>
          </cell>
          <cell r="E12">
            <v>45968.86958326328</v>
          </cell>
          <cell r="F12">
            <v>2.5499999999999998</v>
          </cell>
          <cell r="G12">
            <v>2.4700000000000002</v>
          </cell>
          <cell r="H12">
            <v>2.4975000000000001</v>
          </cell>
          <cell r="I12">
            <v>2.36</v>
          </cell>
          <cell r="J12">
            <v>2.5099</v>
          </cell>
          <cell r="K12">
            <v>0</v>
          </cell>
          <cell r="L12">
            <v>-5.2499999999999998E-2</v>
          </cell>
          <cell r="M12">
            <v>-2.0588000000000002E-2</v>
          </cell>
          <cell r="N12">
            <v>2.08</v>
          </cell>
          <cell r="O12">
            <v>10.16</v>
          </cell>
          <cell r="P12">
            <v>23410</v>
          </cell>
          <cell r="Q12">
            <v>203830</v>
          </cell>
          <cell r="R12">
            <v>6.0999999999999999E-2</v>
          </cell>
        </row>
        <row r="13">
          <cell r="A13" t="str">
            <v>C</v>
          </cell>
          <cell r="D13" t="str">
            <v>USD</v>
          </cell>
          <cell r="E13">
            <v>45968.870790034372</v>
          </cell>
          <cell r="F13">
            <v>100.85</v>
          </cell>
          <cell r="G13">
            <v>100.41</v>
          </cell>
          <cell r="H13">
            <v>100.52</v>
          </cell>
          <cell r="I13">
            <v>97.367099999999994</v>
          </cell>
          <cell r="J13">
            <v>100.54</v>
          </cell>
          <cell r="K13">
            <v>14.130699999999999</v>
          </cell>
          <cell r="L13">
            <v>-0.33</v>
          </cell>
          <cell r="M13">
            <v>-3.2719999999999997E-3</v>
          </cell>
          <cell r="N13">
            <v>55.51</v>
          </cell>
          <cell r="O13">
            <v>105.59</v>
          </cell>
          <cell r="P13">
            <v>11541881</v>
          </cell>
          <cell r="Q13">
            <v>13046626</v>
          </cell>
          <cell r="R13">
            <v>1.1934</v>
          </cell>
        </row>
        <row r="14">
          <cell r="A14" t="str">
            <v>CSCO</v>
          </cell>
          <cell r="D14" t="str">
            <v>USD</v>
          </cell>
          <cell r="E14">
            <v>45968.87077415469</v>
          </cell>
          <cell r="F14">
            <v>71.040000000000006</v>
          </cell>
          <cell r="G14">
            <v>71.39</v>
          </cell>
          <cell r="H14">
            <v>70.924999999999997</v>
          </cell>
          <cell r="I14">
            <v>70.540000000000006</v>
          </cell>
          <cell r="J14">
            <v>71.584999999999994</v>
          </cell>
          <cell r="K14">
            <v>29.9831</v>
          </cell>
          <cell r="L14">
            <v>-0.115</v>
          </cell>
          <cell r="M14">
            <v>-1.6189999999999998E-3</v>
          </cell>
          <cell r="N14">
            <v>52.11</v>
          </cell>
          <cell r="O14">
            <v>74.837999999999994</v>
          </cell>
          <cell r="P14">
            <v>11027746</v>
          </cell>
          <cell r="Q14">
            <v>17811359</v>
          </cell>
          <cell r="R14">
            <v>0.872</v>
          </cell>
        </row>
        <row r="15">
          <cell r="A15" t="str">
            <v>CVS</v>
          </cell>
          <cell r="D15" t="str">
            <v>USD</v>
          </cell>
          <cell r="E15">
            <v>45968.870794282033</v>
          </cell>
          <cell r="F15">
            <v>78.66</v>
          </cell>
          <cell r="G15">
            <v>78.989999999999995</v>
          </cell>
          <cell r="H15">
            <v>78.84</v>
          </cell>
          <cell r="I15">
            <v>78.290000000000006</v>
          </cell>
          <cell r="J15">
            <v>79.44</v>
          </cell>
          <cell r="K15">
            <v>206.5496</v>
          </cell>
          <cell r="L15">
            <v>0.18</v>
          </cell>
          <cell r="M15">
            <v>2.2880000000000001E-3</v>
          </cell>
          <cell r="N15">
            <v>43.56</v>
          </cell>
          <cell r="O15">
            <v>85.15</v>
          </cell>
          <cell r="P15">
            <v>2829568</v>
          </cell>
          <cell r="Q15">
            <v>7839054</v>
          </cell>
          <cell r="R15">
            <v>0.47870000000000001</v>
          </cell>
        </row>
        <row r="16">
          <cell r="A16" t="str">
            <v>DDD</v>
          </cell>
          <cell r="D16" t="str">
            <v>USD</v>
          </cell>
          <cell r="E16">
            <v>45968.870802858597</v>
          </cell>
          <cell r="F16">
            <v>2.25</v>
          </cell>
          <cell r="G16">
            <v>2.2200000000000002</v>
          </cell>
          <cell r="H16">
            <v>2.2250000000000001</v>
          </cell>
          <cell r="I16">
            <v>2.145</v>
          </cell>
          <cell r="J16">
            <v>2.27</v>
          </cell>
          <cell r="K16">
            <v>0</v>
          </cell>
          <cell r="L16">
            <v>-2.5000000000000001E-2</v>
          </cell>
          <cell r="M16">
            <v>-1.1110999999999999E-2</v>
          </cell>
          <cell r="N16">
            <v>1.32</v>
          </cell>
          <cell r="O16">
            <v>4.9991000000000003</v>
          </cell>
          <cell r="P16">
            <v>2472948</v>
          </cell>
          <cell r="Q16">
            <v>4513661</v>
          </cell>
          <cell r="R16">
            <v>1.9112</v>
          </cell>
        </row>
        <row r="17">
          <cell r="A17" t="str">
            <v>DIS</v>
          </cell>
          <cell r="D17" t="str">
            <v>USD</v>
          </cell>
          <cell r="E17">
            <v>45968.870786099222</v>
          </cell>
          <cell r="F17">
            <v>110.49</v>
          </cell>
          <cell r="G17">
            <v>110.35</v>
          </cell>
          <cell r="H17">
            <v>110.73</v>
          </cell>
          <cell r="I17">
            <v>110.04</v>
          </cell>
          <cell r="J17">
            <v>111.425</v>
          </cell>
          <cell r="K17">
            <v>17.360199999999999</v>
          </cell>
          <cell r="L17">
            <v>0.24</v>
          </cell>
          <cell r="M17">
            <v>2.1719999999999999E-3</v>
          </cell>
          <cell r="N17">
            <v>80.099999999999994</v>
          </cell>
          <cell r="O17">
            <v>124.69</v>
          </cell>
          <cell r="P17">
            <v>6540930</v>
          </cell>
          <cell r="Q17">
            <v>7533891</v>
          </cell>
          <cell r="R17">
            <v>1.4843999999999999</v>
          </cell>
        </row>
        <row r="18">
          <cell r="A18" t="str">
            <v>DSY</v>
          </cell>
          <cell r="D18" t="str">
            <v>EUR</v>
          </cell>
          <cell r="E18">
            <v>45968.708333333336</v>
          </cell>
          <cell r="F18">
            <v>23.26</v>
          </cell>
          <cell r="G18">
            <v>23.34</v>
          </cell>
          <cell r="H18">
            <v>23.34</v>
          </cell>
          <cell r="I18">
            <v>23.03</v>
          </cell>
          <cell r="J18">
            <v>23.48</v>
          </cell>
          <cell r="K18">
            <v>25.988800000000001</v>
          </cell>
          <cell r="L18">
            <v>0.08</v>
          </cell>
          <cell r="M18">
            <v>3.4389999999999998E-3</v>
          </cell>
          <cell r="N18">
            <v>23.03</v>
          </cell>
          <cell r="O18">
            <v>41.17</v>
          </cell>
          <cell r="P18">
            <v>2490088</v>
          </cell>
          <cell r="Q18">
            <v>2566620</v>
          </cell>
          <cell r="R18">
            <v>0.79359999999999997</v>
          </cell>
        </row>
        <row r="19">
          <cell r="A19" t="str">
            <v>DVA</v>
          </cell>
          <cell r="D19" t="str">
            <v>USD</v>
          </cell>
          <cell r="E19">
            <v>45968.870767036722</v>
          </cell>
          <cell r="F19">
            <v>121.53</v>
          </cell>
          <cell r="G19">
            <v>121.06</v>
          </cell>
          <cell r="H19">
            <v>123.325</v>
          </cell>
          <cell r="I19">
            <v>120.92</v>
          </cell>
          <cell r="J19">
            <v>123.79</v>
          </cell>
          <cell r="K19">
            <v>12.6974</v>
          </cell>
          <cell r="L19">
            <v>1.7949999999999999</v>
          </cell>
          <cell r="M19">
            <v>1.477E-2</v>
          </cell>
          <cell r="N19">
            <v>115.39</v>
          </cell>
          <cell r="O19">
            <v>179.6</v>
          </cell>
          <cell r="P19">
            <v>732613</v>
          </cell>
          <cell r="Q19">
            <v>838102</v>
          </cell>
          <cell r="R19">
            <v>0.98299999999999998</v>
          </cell>
        </row>
        <row r="20">
          <cell r="A20" t="str">
            <v>DXC</v>
          </cell>
          <cell r="D20" t="str">
            <v>USD</v>
          </cell>
          <cell r="E20">
            <v>45968.870783032035</v>
          </cell>
          <cell r="F20">
            <v>13.64</v>
          </cell>
          <cell r="G20">
            <v>13.5</v>
          </cell>
          <cell r="H20">
            <v>13.175000000000001</v>
          </cell>
          <cell r="I20">
            <v>13.03</v>
          </cell>
          <cell r="J20">
            <v>13.7</v>
          </cell>
          <cell r="K20">
            <v>6.4330999999999996</v>
          </cell>
          <cell r="L20">
            <v>-0.46500000000000002</v>
          </cell>
          <cell r="M20">
            <v>-3.4091000000000003E-2</v>
          </cell>
          <cell r="N20">
            <v>12.24</v>
          </cell>
          <cell r="O20">
            <v>24.83</v>
          </cell>
          <cell r="P20">
            <v>1154850</v>
          </cell>
          <cell r="Q20">
            <v>1987627</v>
          </cell>
          <cell r="R20">
            <v>1.0882000000000001</v>
          </cell>
        </row>
        <row r="21">
          <cell r="A21" t="str">
            <v>EOAN</v>
          </cell>
          <cell r="D21" t="str">
            <v>EUR</v>
          </cell>
          <cell r="E21">
            <v>45968.857638888891</v>
          </cell>
          <cell r="F21">
            <v>16.079999999999998</v>
          </cell>
          <cell r="G21">
            <v>16.105</v>
          </cell>
          <cell r="H21">
            <v>16.105</v>
          </cell>
          <cell r="I21">
            <v>15.994999999999999</v>
          </cell>
          <cell r="J21">
            <v>16.155000000000001</v>
          </cell>
          <cell r="K21">
            <v>13.309900000000001</v>
          </cell>
          <cell r="L21">
            <v>2.5000000000000001E-2</v>
          </cell>
          <cell r="M21">
            <v>1.555E-3</v>
          </cell>
          <cell r="N21">
            <v>7.3</v>
          </cell>
          <cell r="O21">
            <v>16.515000000000001</v>
          </cell>
          <cell r="P21">
            <v>3946</v>
          </cell>
          <cell r="Q21">
            <v>2864900</v>
          </cell>
          <cell r="R21">
            <v>0.85299999999999998</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45968.870778610937</v>
          </cell>
          <cell r="F23">
            <v>68.84</v>
          </cell>
          <cell r="G23">
            <v>68.94</v>
          </cell>
          <cell r="H23">
            <v>70.66</v>
          </cell>
          <cell r="I23">
            <v>68.58</v>
          </cell>
          <cell r="J23">
            <v>70.734999999999999</v>
          </cell>
          <cell r="K23">
            <v>13.5906</v>
          </cell>
          <cell r="L23">
            <v>1.82</v>
          </cell>
          <cell r="M23">
            <v>2.6438000000000003E-2</v>
          </cell>
          <cell r="N23">
            <v>41.6</v>
          </cell>
          <cell r="O23">
            <v>70.734999999999999</v>
          </cell>
          <cell r="P23">
            <v>5637542</v>
          </cell>
          <cell r="Q23">
            <v>10498677</v>
          </cell>
          <cell r="R23">
            <v>1.3052999999999999</v>
          </cell>
        </row>
        <row r="24">
          <cell r="A24" t="str">
            <v>HPE</v>
          </cell>
          <cell r="D24" t="str">
            <v>USD</v>
          </cell>
          <cell r="E24">
            <v>45968.87077715234</v>
          </cell>
          <cell r="F24">
            <v>23.4</v>
          </cell>
          <cell r="G24">
            <v>23.27</v>
          </cell>
          <cell r="H24">
            <v>23.4</v>
          </cell>
          <cell r="I24">
            <v>22.79</v>
          </cell>
          <cell r="J24">
            <v>23.524999999999999</v>
          </cell>
          <cell r="K24">
            <v>28.067699999999999</v>
          </cell>
          <cell r="L24">
            <v>0</v>
          </cell>
          <cell r="M24">
            <v>0</v>
          </cell>
          <cell r="N24">
            <v>11.965</v>
          </cell>
          <cell r="O24">
            <v>26.44</v>
          </cell>
          <cell r="P24">
            <v>19027059</v>
          </cell>
          <cell r="Q24">
            <v>37867308</v>
          </cell>
          <cell r="R24">
            <v>1.3432999999999999</v>
          </cell>
        </row>
        <row r="25">
          <cell r="A25" t="str">
            <v>HPQ</v>
          </cell>
          <cell r="D25" t="str">
            <v>USD</v>
          </cell>
          <cell r="E25">
            <v>45968.870794895316</v>
          </cell>
          <cell r="F25">
            <v>26.17</v>
          </cell>
          <cell r="G25">
            <v>26.03</v>
          </cell>
          <cell r="H25">
            <v>26.215</v>
          </cell>
          <cell r="I25">
            <v>25.82</v>
          </cell>
          <cell r="J25">
            <v>26.33</v>
          </cell>
          <cell r="K25">
            <v>9.5496999999999996</v>
          </cell>
          <cell r="L25">
            <v>4.4999999999999998E-2</v>
          </cell>
          <cell r="M25">
            <v>1.72E-3</v>
          </cell>
          <cell r="N25">
            <v>21.21</v>
          </cell>
          <cell r="O25">
            <v>39.795000000000002</v>
          </cell>
          <cell r="P25">
            <v>6260866</v>
          </cell>
          <cell r="Q25">
            <v>12289307</v>
          </cell>
          <cell r="R25">
            <v>1.2271000000000001</v>
          </cell>
        </row>
        <row r="26">
          <cell r="A26" t="str">
            <v>IAG</v>
          </cell>
          <cell r="D26" t="str">
            <v>GBp</v>
          </cell>
          <cell r="E26">
            <v>45968.676040161721</v>
          </cell>
          <cell r="F26">
            <v>414.1</v>
          </cell>
          <cell r="G26">
            <v>388</v>
          </cell>
          <cell r="H26">
            <v>366.2</v>
          </cell>
          <cell r="I26">
            <v>366.2</v>
          </cell>
          <cell r="J26">
            <v>389.2</v>
          </cell>
          <cell r="K26">
            <v>6.6745000000000001</v>
          </cell>
          <cell r="L26">
            <v>-47.9</v>
          </cell>
          <cell r="M26">
            <v>-0.115673</v>
          </cell>
          <cell r="N26">
            <v>207.6</v>
          </cell>
          <cell r="O26">
            <v>429.3</v>
          </cell>
          <cell r="P26">
            <v>51664851</v>
          </cell>
          <cell r="Q26">
            <v>13416260</v>
          </cell>
          <cell r="R26">
            <v>2.3001999999999998</v>
          </cell>
        </row>
        <row r="27">
          <cell r="A27" t="str">
            <v>KR</v>
          </cell>
          <cell r="D27" t="str">
            <v>USD</v>
          </cell>
          <cell r="E27">
            <v>45968.870795508592</v>
          </cell>
          <cell r="F27">
            <v>63.43</v>
          </cell>
          <cell r="G27">
            <v>63.805</v>
          </cell>
          <cell r="H27">
            <v>64.905000000000001</v>
          </cell>
          <cell r="I27">
            <v>63.47</v>
          </cell>
          <cell r="J27">
            <v>65.08</v>
          </cell>
          <cell r="K27">
            <v>16.443300000000001</v>
          </cell>
          <cell r="L27">
            <v>1.4750000000000001</v>
          </cell>
          <cell r="M27">
            <v>2.3254E-2</v>
          </cell>
          <cell r="N27">
            <v>57.08</v>
          </cell>
          <cell r="O27">
            <v>74.900000000000006</v>
          </cell>
          <cell r="P27">
            <v>5363760</v>
          </cell>
          <cell r="Q27">
            <v>6237663</v>
          </cell>
          <cell r="R27">
            <v>0.58130000000000004</v>
          </cell>
        </row>
        <row r="28">
          <cell r="A28" t="str">
            <v>LNSR</v>
          </cell>
          <cell r="D28" t="str">
            <v>USD</v>
          </cell>
          <cell r="E28">
            <v>45968.870632685153</v>
          </cell>
          <cell r="F28">
            <v>11.44</v>
          </cell>
          <cell r="G28">
            <v>11.44</v>
          </cell>
          <cell r="H28">
            <v>10.63</v>
          </cell>
          <cell r="I28">
            <v>10.6035</v>
          </cell>
          <cell r="J28">
            <v>11.540800000000001</v>
          </cell>
          <cell r="K28">
            <v>0</v>
          </cell>
          <cell r="L28">
            <v>-0.81</v>
          </cell>
          <cell r="M28">
            <v>-7.0804000000000006E-2</v>
          </cell>
          <cell r="N28">
            <v>6.4</v>
          </cell>
          <cell r="O28">
            <v>17.309999999999999</v>
          </cell>
          <cell r="P28">
            <v>146278</v>
          </cell>
          <cell r="Q28">
            <v>52953</v>
          </cell>
          <cell r="R28">
            <v>0.65920000000000001</v>
          </cell>
        </row>
        <row r="29">
          <cell r="A29" t="str">
            <v>LUMN</v>
          </cell>
          <cell r="D29" t="str">
            <v>USD</v>
          </cell>
          <cell r="E29">
            <v>45968.870787488282</v>
          </cell>
          <cell r="F29">
            <v>10.94</v>
          </cell>
          <cell r="G29">
            <v>10.88</v>
          </cell>
          <cell r="H29">
            <v>10.484999999999999</v>
          </cell>
          <cell r="I29">
            <v>10.1501</v>
          </cell>
          <cell r="J29">
            <v>10.98</v>
          </cell>
          <cell r="K29">
            <v>0</v>
          </cell>
          <cell r="L29">
            <v>-0.45500000000000002</v>
          </cell>
          <cell r="M29">
            <v>-4.1589999999999995E-2</v>
          </cell>
          <cell r="N29">
            <v>3.01</v>
          </cell>
          <cell r="O29">
            <v>11.95</v>
          </cell>
          <cell r="P29">
            <v>17577716</v>
          </cell>
          <cell r="Q29">
            <v>22671701</v>
          </cell>
          <cell r="R29">
            <v>1.3963000000000001</v>
          </cell>
        </row>
        <row r="30">
          <cell r="A30" t="str">
            <v>MRNA</v>
          </cell>
          <cell r="D30" t="str">
            <v>USD</v>
          </cell>
          <cell r="E30">
            <v>45968.870799733595</v>
          </cell>
          <cell r="F30">
            <v>24.33</v>
          </cell>
          <cell r="G30">
            <v>23.87</v>
          </cell>
          <cell r="H30">
            <v>24.524999999999999</v>
          </cell>
          <cell r="I30">
            <v>23.4</v>
          </cell>
          <cell r="J30">
            <v>24.524999999999999</v>
          </cell>
          <cell r="K30">
            <v>0</v>
          </cell>
          <cell r="L30">
            <v>0.19500000000000001</v>
          </cell>
          <cell r="M30">
            <v>8.0149999999999996E-3</v>
          </cell>
          <cell r="N30">
            <v>23.15</v>
          </cell>
          <cell r="O30">
            <v>56.695</v>
          </cell>
          <cell r="P30">
            <v>8648447</v>
          </cell>
          <cell r="Q30">
            <v>11202589</v>
          </cell>
          <cell r="R30">
            <v>1.1258999999999999</v>
          </cell>
        </row>
        <row r="31">
          <cell r="A31" t="str">
            <v>MSFT</v>
          </cell>
          <cell r="D31" t="str">
            <v>USD</v>
          </cell>
          <cell r="E31">
            <v>45968.870791770314</v>
          </cell>
          <cell r="F31">
            <v>497.1</v>
          </cell>
          <cell r="G31">
            <v>497</v>
          </cell>
          <cell r="H31">
            <v>497.63</v>
          </cell>
          <cell r="I31">
            <v>493.25</v>
          </cell>
          <cell r="J31">
            <v>499.37700000000001</v>
          </cell>
          <cell r="K31">
            <v>35.404899999999998</v>
          </cell>
          <cell r="L31">
            <v>0.53</v>
          </cell>
          <cell r="M31">
            <v>1.0660000000000001E-3</v>
          </cell>
          <cell r="N31">
            <v>344.79</v>
          </cell>
          <cell r="O31">
            <v>555.45000000000005</v>
          </cell>
          <cell r="P31">
            <v>16615200</v>
          </cell>
          <cell r="Q31">
            <v>20734244</v>
          </cell>
          <cell r="R31">
            <v>1.0716000000000001</v>
          </cell>
        </row>
        <row r="32">
          <cell r="A32" t="str">
            <v>NEE</v>
          </cell>
          <cell r="D32" t="str">
            <v>USD</v>
          </cell>
          <cell r="E32">
            <v>45968.870773159375</v>
          </cell>
          <cell r="F32">
            <v>82</v>
          </cell>
          <cell r="G32">
            <v>81.78</v>
          </cell>
          <cell r="H32">
            <v>83.71</v>
          </cell>
          <cell r="I32">
            <v>81.635000000000005</v>
          </cell>
          <cell r="J32">
            <v>83.765000000000001</v>
          </cell>
          <cell r="K32">
            <v>26.586400000000001</v>
          </cell>
          <cell r="L32">
            <v>1.71</v>
          </cell>
          <cell r="M32">
            <v>2.0853999999999998E-2</v>
          </cell>
          <cell r="N32">
            <v>61.72</v>
          </cell>
          <cell r="O32">
            <v>87.53</v>
          </cell>
          <cell r="P32">
            <v>6767531</v>
          </cell>
          <cell r="Q32">
            <v>9726195</v>
          </cell>
          <cell r="R32">
            <v>0.73170000000000002</v>
          </cell>
        </row>
        <row r="33">
          <cell r="A33" t="str">
            <v>NEM</v>
          </cell>
          <cell r="D33" t="str">
            <v>USD</v>
          </cell>
          <cell r="E33">
            <v>45968.87079606406</v>
          </cell>
          <cell r="F33">
            <v>82.53</v>
          </cell>
          <cell r="G33">
            <v>83.28</v>
          </cell>
          <cell r="H33">
            <v>83.35</v>
          </cell>
          <cell r="I33">
            <v>81.489999999999995</v>
          </cell>
          <cell r="J33">
            <v>83.5</v>
          </cell>
          <cell r="K33">
            <v>12.9526</v>
          </cell>
          <cell r="L33">
            <v>0.82</v>
          </cell>
          <cell r="M33">
            <v>9.9360000000000004E-3</v>
          </cell>
          <cell r="N33">
            <v>36.86</v>
          </cell>
          <cell r="O33">
            <v>98.578000000000003</v>
          </cell>
          <cell r="P33">
            <v>4841213</v>
          </cell>
          <cell r="Q33">
            <v>12027100</v>
          </cell>
          <cell r="R33">
            <v>0.43559999999999999</v>
          </cell>
        </row>
        <row r="34">
          <cell r="A34" t="str">
            <v>NFLX</v>
          </cell>
          <cell r="D34" t="str">
            <v>USD</v>
          </cell>
          <cell r="E34">
            <v>45968.870786955471</v>
          </cell>
          <cell r="F34">
            <v>1097.02</v>
          </cell>
          <cell r="G34">
            <v>1093.06</v>
          </cell>
          <cell r="H34">
            <v>1099.25</v>
          </cell>
          <cell r="I34">
            <v>1087.5</v>
          </cell>
          <cell r="J34">
            <v>1108.22</v>
          </cell>
          <cell r="K34">
            <v>45.921100000000003</v>
          </cell>
          <cell r="L34">
            <v>2.23</v>
          </cell>
          <cell r="M34">
            <v>2.0330000000000001E-3</v>
          </cell>
          <cell r="N34">
            <v>779.94</v>
          </cell>
          <cell r="O34">
            <v>1341.15</v>
          </cell>
          <cell r="P34">
            <v>3093411</v>
          </cell>
          <cell r="Q34">
            <v>4409922</v>
          </cell>
          <cell r="R34">
            <v>1.7001999999999999</v>
          </cell>
        </row>
        <row r="35">
          <cell r="A35" t="str">
            <v>NOTE</v>
          </cell>
          <cell r="D35" t="str">
            <v>USD</v>
          </cell>
          <cell r="E35">
            <v>45968.870491724221</v>
          </cell>
          <cell r="F35">
            <v>3</v>
          </cell>
          <cell r="G35">
            <v>2.67</v>
          </cell>
          <cell r="H35">
            <v>3.05</v>
          </cell>
          <cell r="I35">
            <v>2.5</v>
          </cell>
          <cell r="J35">
            <v>3.12</v>
          </cell>
          <cell r="K35">
            <v>99</v>
          </cell>
          <cell r="L35">
            <v>0.05</v>
          </cell>
          <cell r="M35">
            <v>1.6667000000000001E-2</v>
          </cell>
          <cell r="N35">
            <v>2.5</v>
          </cell>
          <cell r="O35">
            <v>24.36</v>
          </cell>
          <cell r="P35">
            <v>444563</v>
          </cell>
          <cell r="Q35">
            <v>258326</v>
          </cell>
          <cell r="R35">
            <v>0.59709999999999996</v>
          </cell>
        </row>
        <row r="36">
          <cell r="A36" t="str">
            <v>PAAS</v>
          </cell>
          <cell r="D36" t="str">
            <v>USD</v>
          </cell>
          <cell r="E36">
            <v>45968.870712580472</v>
          </cell>
          <cell r="F36">
            <v>33.83</v>
          </cell>
          <cell r="G36">
            <v>34.090000000000003</v>
          </cell>
          <cell r="H36">
            <v>34.719900000000003</v>
          </cell>
          <cell r="I36">
            <v>33.619999999999997</v>
          </cell>
          <cell r="J36">
            <v>34.765000000000001</v>
          </cell>
          <cell r="K36">
            <v>24.106000000000002</v>
          </cell>
          <cell r="L36">
            <v>0.88990000000000002</v>
          </cell>
          <cell r="M36">
            <v>2.6305000000000002E-2</v>
          </cell>
          <cell r="N36">
            <v>19.8017</v>
          </cell>
          <cell r="O36">
            <v>42.57</v>
          </cell>
          <cell r="P36">
            <v>2923976</v>
          </cell>
          <cell r="Q36">
            <v>6119969</v>
          </cell>
          <cell r="R36">
            <v>1.1608000000000001</v>
          </cell>
        </row>
        <row r="37">
          <cell r="A37" t="str">
            <v>PROF</v>
          </cell>
          <cell r="D37" t="str">
            <v>USD</v>
          </cell>
          <cell r="E37">
            <v>45968.870771203125</v>
          </cell>
          <cell r="F37">
            <v>5.85</v>
          </cell>
          <cell r="G37">
            <v>5.81</v>
          </cell>
          <cell r="H37">
            <v>5.9249999999999998</v>
          </cell>
          <cell r="I37">
            <v>5.68</v>
          </cell>
          <cell r="J37">
            <v>5.95</v>
          </cell>
          <cell r="K37">
            <v>0</v>
          </cell>
          <cell r="L37">
            <v>7.4999999999999997E-2</v>
          </cell>
          <cell r="M37">
            <v>1.2821000000000001E-2</v>
          </cell>
          <cell r="N37">
            <v>3.76</v>
          </cell>
          <cell r="O37">
            <v>9.17</v>
          </cell>
          <cell r="P37">
            <v>32510</v>
          </cell>
          <cell r="Q37">
            <v>70048</v>
          </cell>
          <cell r="R37">
            <v>0.19359999999999999</v>
          </cell>
        </row>
        <row r="38">
          <cell r="A38" t="str">
            <v>POET</v>
          </cell>
          <cell r="D38" t="str">
            <v>USD</v>
          </cell>
          <cell r="E38">
            <v>45968.870799745309</v>
          </cell>
          <cell r="F38">
            <v>5.32</v>
          </cell>
          <cell r="G38">
            <v>5.1100000000000003</v>
          </cell>
          <cell r="H38">
            <v>5.3699000000000003</v>
          </cell>
          <cell r="I38">
            <v>4.97</v>
          </cell>
          <cell r="J38">
            <v>5.44</v>
          </cell>
          <cell r="K38">
            <v>0</v>
          </cell>
          <cell r="L38">
            <v>4.99E-2</v>
          </cell>
          <cell r="M38">
            <v>9.3799999999999994E-3</v>
          </cell>
          <cell r="N38">
            <v>3.09</v>
          </cell>
          <cell r="O38">
            <v>9.41</v>
          </cell>
          <cell r="P38">
            <v>9984437</v>
          </cell>
          <cell r="Q38">
            <v>18205429</v>
          </cell>
          <cell r="R38">
            <v>0.50170000000000003</v>
          </cell>
        </row>
        <row r="39">
          <cell r="A39" t="str">
            <v>PW</v>
          </cell>
          <cell r="D39" t="str">
            <v>USD</v>
          </cell>
          <cell r="E39">
            <v>45968.866850878905</v>
          </cell>
          <cell r="F39">
            <v>0.68189999999999995</v>
          </cell>
          <cell r="G39">
            <v>0.65069999999999995</v>
          </cell>
          <cell r="H39">
            <v>0.66</v>
          </cell>
          <cell r="I39">
            <v>0.65069999999999995</v>
          </cell>
          <cell r="J39">
            <v>0.69</v>
          </cell>
          <cell r="K39">
            <v>99</v>
          </cell>
          <cell r="L39">
            <v>-2.1899999999999999E-2</v>
          </cell>
          <cell r="M39">
            <v>-3.2115999999999999E-2</v>
          </cell>
          <cell r="N39">
            <v>0.62429999999999997</v>
          </cell>
          <cell r="O39">
            <v>2.59</v>
          </cell>
          <cell r="P39">
            <v>18255</v>
          </cell>
          <cell r="Q39">
            <v>88719</v>
          </cell>
          <cell r="R39">
            <v>1.5435000000000001</v>
          </cell>
        </row>
        <row r="40">
          <cell r="A40" t="str">
            <v>RIGL</v>
          </cell>
          <cell r="D40" t="str">
            <v>USD</v>
          </cell>
          <cell r="E40">
            <v>45968.87078192109</v>
          </cell>
          <cell r="F40">
            <v>36.119999999999997</v>
          </cell>
          <cell r="G40">
            <v>35.369999999999997</v>
          </cell>
          <cell r="H40">
            <v>35.31</v>
          </cell>
          <cell r="I40">
            <v>34.64</v>
          </cell>
          <cell r="J40">
            <v>35.9099</v>
          </cell>
          <cell r="K40">
            <v>5.7251000000000003</v>
          </cell>
          <cell r="L40">
            <v>-0.81</v>
          </cell>
          <cell r="M40">
            <v>-2.2425E-2</v>
          </cell>
          <cell r="N40">
            <v>14.63</v>
          </cell>
          <cell r="O40">
            <v>43.7181</v>
          </cell>
          <cell r="P40">
            <v>467069</v>
          </cell>
          <cell r="Q40">
            <v>576881</v>
          </cell>
          <cell r="R40">
            <v>1.1234999999999999</v>
          </cell>
        </row>
        <row r="41">
          <cell r="A41" t="str">
            <v>RWE</v>
          </cell>
          <cell r="D41" t="str">
            <v>EUR</v>
          </cell>
          <cell r="E41">
            <v>45968.859722222223</v>
          </cell>
          <cell r="F41">
            <v>43.09</v>
          </cell>
          <cell r="G41">
            <v>43.11</v>
          </cell>
          <cell r="H41">
            <v>42.91</v>
          </cell>
          <cell r="I41">
            <v>42.36</v>
          </cell>
          <cell r="J41">
            <v>43.33</v>
          </cell>
          <cell r="K41">
            <v>12.2951</v>
          </cell>
          <cell r="L41">
            <v>-0.18</v>
          </cell>
          <cell r="M41">
            <v>-4.1770000000000002E-3</v>
          </cell>
          <cell r="N41">
            <v>14.231</v>
          </cell>
          <cell r="O41">
            <v>44.03</v>
          </cell>
          <cell r="P41">
            <v>8208</v>
          </cell>
          <cell r="Q41">
            <v>1843470</v>
          </cell>
          <cell r="R41">
            <v>0.47949999999999998</v>
          </cell>
        </row>
        <row r="42">
          <cell r="A42" t="str">
            <v>SAP</v>
          </cell>
          <cell r="D42" t="str">
            <v>EUR</v>
          </cell>
          <cell r="E42">
            <v>45968.8125</v>
          </cell>
          <cell r="F42">
            <v>217.95</v>
          </cell>
          <cell r="G42">
            <v>219.65</v>
          </cell>
          <cell r="H42">
            <v>215.65</v>
          </cell>
          <cell r="I42">
            <v>215.1</v>
          </cell>
          <cell r="J42">
            <v>220</v>
          </cell>
          <cell r="K42">
            <v>35.522500000000001</v>
          </cell>
          <cell r="L42">
            <v>-2.2999999999999998</v>
          </cell>
          <cell r="M42">
            <v>-1.0553E-2</v>
          </cell>
          <cell r="N42">
            <v>209.7</v>
          </cell>
          <cell r="O42">
            <v>283.5</v>
          </cell>
          <cell r="P42">
            <v>1495029</v>
          </cell>
          <cell r="Q42">
            <v>1289070</v>
          </cell>
          <cell r="R42">
            <v>1.0488</v>
          </cell>
        </row>
        <row r="43">
          <cell r="A43" t="str">
            <v>SHECY</v>
          </cell>
          <cell r="D43" t="str">
            <v>USD</v>
          </cell>
          <cell r="E43">
            <v>45968.860066515626</v>
          </cell>
          <cell r="F43">
            <v>14.46</v>
          </cell>
          <cell r="G43">
            <v>14.335000000000001</v>
          </cell>
          <cell r="H43">
            <v>14.69</v>
          </cell>
          <cell r="I43">
            <v>14.335000000000001</v>
          </cell>
          <cell r="J43">
            <v>14.86</v>
          </cell>
          <cell r="K43">
            <v>0</v>
          </cell>
          <cell r="L43">
            <v>0.23</v>
          </cell>
          <cell r="M43">
            <v>1.5906E-2</v>
          </cell>
          <cell r="N43">
            <v>11.88</v>
          </cell>
          <cell r="O43">
            <v>19.86</v>
          </cell>
          <cell r="P43">
            <v>392172</v>
          </cell>
          <cell r="Q43">
            <v>7897470</v>
          </cell>
          <cell r="R43">
            <v>1.2955000000000001</v>
          </cell>
        </row>
        <row r="44">
          <cell r="A44" t="str">
            <v>SSYS</v>
          </cell>
          <cell r="D44" t="str">
            <v>USD</v>
          </cell>
          <cell r="E44">
            <v>45968.870751249997</v>
          </cell>
          <cell r="F44">
            <v>9.4600000000000009</v>
          </cell>
          <cell r="G44">
            <v>9.26</v>
          </cell>
          <cell r="H44">
            <v>9.4600000000000009</v>
          </cell>
          <cell r="I44">
            <v>9.1766000000000005</v>
          </cell>
          <cell r="J44">
            <v>9.48</v>
          </cell>
          <cell r="K44">
            <v>0</v>
          </cell>
          <cell r="L44">
            <v>0</v>
          </cell>
          <cell r="M44">
            <v>0</v>
          </cell>
          <cell r="N44">
            <v>7.62</v>
          </cell>
          <cell r="O44">
            <v>12.88</v>
          </cell>
          <cell r="P44">
            <v>524493</v>
          </cell>
          <cell r="Q44">
            <v>975678</v>
          </cell>
          <cell r="R44">
            <v>1.4815</v>
          </cell>
        </row>
        <row r="45">
          <cell r="A45" t="str">
            <v>TSLA</v>
          </cell>
          <cell r="D45" t="str">
            <v>USD</v>
          </cell>
          <cell r="E45">
            <v>45968.870779015626</v>
          </cell>
          <cell r="F45">
            <v>445.91</v>
          </cell>
          <cell r="G45">
            <v>437.6</v>
          </cell>
          <cell r="H45">
            <v>430.03</v>
          </cell>
          <cell r="I45">
            <v>421.88</v>
          </cell>
          <cell r="J45">
            <v>437.9425</v>
          </cell>
          <cell r="K45">
            <v>298.15570000000002</v>
          </cell>
          <cell r="L45">
            <v>-15.88</v>
          </cell>
          <cell r="M45">
            <v>-3.5612999999999999E-2</v>
          </cell>
          <cell r="N45">
            <v>214.25</v>
          </cell>
          <cell r="O45">
            <v>488.53989999999999</v>
          </cell>
          <cell r="P45">
            <v>94942022</v>
          </cell>
          <cell r="Q45">
            <v>86580458</v>
          </cell>
          <cell r="R45">
            <v>1.8709</v>
          </cell>
        </row>
        <row r="46">
          <cell r="A46" t="str">
            <v>TSM</v>
          </cell>
          <cell r="D46" t="str">
            <v>USD</v>
          </cell>
          <cell r="E46">
            <v>45968.870792499998</v>
          </cell>
          <cell r="F46">
            <v>289.24</v>
          </cell>
          <cell r="G46">
            <v>285.10500000000002</v>
          </cell>
          <cell r="H46">
            <v>285.85000000000002</v>
          </cell>
          <cell r="I46">
            <v>277.13</v>
          </cell>
          <cell r="J46">
            <v>287.88499999999999</v>
          </cell>
          <cell r="K46">
            <v>28.443899999999999</v>
          </cell>
          <cell r="L46">
            <v>-3.39</v>
          </cell>
          <cell r="M46">
            <v>-1.172E-2</v>
          </cell>
          <cell r="N46">
            <v>134.25</v>
          </cell>
          <cell r="O46">
            <v>311.36849999999998</v>
          </cell>
          <cell r="P46">
            <v>13720680</v>
          </cell>
          <cell r="Q46">
            <v>14646653</v>
          </cell>
          <cell r="R46">
            <v>1.3138000000000001</v>
          </cell>
        </row>
        <row r="47">
          <cell r="A47" t="str">
            <v>UN0</v>
          </cell>
          <cell r="D47" t="str">
            <v>EUR</v>
          </cell>
          <cell r="E47">
            <v>45968.834722222222</v>
          </cell>
          <cell r="F47">
            <v>27.95</v>
          </cell>
          <cell r="G47">
            <v>28.4</v>
          </cell>
          <cell r="H47">
            <v>28.5</v>
          </cell>
          <cell r="I47">
            <v>28.4</v>
          </cell>
          <cell r="J47">
            <v>28.5</v>
          </cell>
          <cell r="L47">
            <v>0.55000000000000004</v>
          </cell>
          <cell r="M47">
            <v>1.9678000000000001E-2</v>
          </cell>
          <cell r="N47">
            <v>2.1</v>
          </cell>
          <cell r="O47">
            <v>73.5</v>
          </cell>
          <cell r="P47">
            <v>60</v>
          </cell>
          <cell r="Q47">
            <v>5290</v>
          </cell>
          <cell r="R47">
            <v>1.0959000000000001</v>
          </cell>
        </row>
        <row r="48">
          <cell r="A48" t="str">
            <v>UNIT</v>
          </cell>
          <cell r="D48" t="str">
            <v>USD</v>
          </cell>
          <cell r="E48">
            <v>45968.870776631251</v>
          </cell>
          <cell r="F48">
            <v>6.26</v>
          </cell>
          <cell r="G48">
            <v>6.24</v>
          </cell>
          <cell r="H48">
            <v>6.5650000000000004</v>
          </cell>
          <cell r="I48">
            <v>6.1303999999999998</v>
          </cell>
          <cell r="J48">
            <v>6.58</v>
          </cell>
          <cell r="K48">
            <v>1.3058000000000001</v>
          </cell>
          <cell r="L48">
            <v>0.30499999999999999</v>
          </cell>
          <cell r="M48">
            <v>4.8722000000000001E-2</v>
          </cell>
          <cell r="N48">
            <v>5.3</v>
          </cell>
          <cell r="O48">
            <v>10.466100000000001</v>
          </cell>
          <cell r="P48">
            <v>2428859</v>
          </cell>
          <cell r="Q48">
            <v>2656875</v>
          </cell>
          <cell r="R48">
            <v>1.4749000000000001</v>
          </cell>
        </row>
        <row r="49">
          <cell r="A49" t="str">
            <v>VLVLY</v>
          </cell>
          <cell r="D49" t="str">
            <v>USD</v>
          </cell>
          <cell r="E49">
            <v>45968.859047638281</v>
          </cell>
          <cell r="F49">
            <v>27.27</v>
          </cell>
          <cell r="G49">
            <v>27.04</v>
          </cell>
          <cell r="H49">
            <v>27.416499999999999</v>
          </cell>
          <cell r="I49">
            <v>26.96</v>
          </cell>
          <cell r="J49">
            <v>27.51</v>
          </cell>
          <cell r="K49">
            <v>0</v>
          </cell>
          <cell r="L49">
            <v>0.14649999999999999</v>
          </cell>
          <cell r="M49">
            <v>5.372E-3</v>
          </cell>
          <cell r="N49">
            <v>22.55</v>
          </cell>
          <cell r="O49">
            <v>33.33</v>
          </cell>
          <cell r="P49">
            <v>57199</v>
          </cell>
          <cell r="Q49">
            <v>2092400</v>
          </cell>
          <cell r="R49">
            <v>0.89739999999999998</v>
          </cell>
        </row>
        <row r="50">
          <cell r="A50" t="str">
            <v>VONN</v>
          </cell>
          <cell r="D50" t="str">
            <v>CHF</v>
          </cell>
          <cell r="E50">
            <v>45968.798113425924</v>
          </cell>
          <cell r="F50">
            <v>58.2</v>
          </cell>
          <cell r="G50">
            <v>58.4</v>
          </cell>
          <cell r="H50">
            <v>58.3</v>
          </cell>
          <cell r="I50">
            <v>58.2</v>
          </cell>
          <cell r="J50">
            <v>58.8</v>
          </cell>
          <cell r="K50">
            <v>13.160299999999999</v>
          </cell>
          <cell r="L50">
            <v>0.1</v>
          </cell>
          <cell r="M50">
            <v>1.7180000000000001E-3</v>
          </cell>
          <cell r="N50">
            <v>51.1</v>
          </cell>
          <cell r="O50">
            <v>69.5</v>
          </cell>
          <cell r="P50">
            <v>29983</v>
          </cell>
          <cell r="Q50">
            <v>39360</v>
          </cell>
          <cell r="R50">
            <v>0.84019999999999995</v>
          </cell>
        </row>
        <row r="51">
          <cell r="A51" t="str">
            <v>VTRS</v>
          </cell>
          <cell r="D51" t="str">
            <v>USD</v>
          </cell>
          <cell r="E51">
            <v>45968.870779767967</v>
          </cell>
          <cell r="F51">
            <v>10.11</v>
          </cell>
          <cell r="G51">
            <v>10.07</v>
          </cell>
          <cell r="H51">
            <v>10.074999999999999</v>
          </cell>
          <cell r="I51">
            <v>9.92</v>
          </cell>
          <cell r="J51">
            <v>10.16</v>
          </cell>
          <cell r="K51">
            <v>0</v>
          </cell>
          <cell r="L51">
            <v>-3.5000000000000003E-2</v>
          </cell>
          <cell r="M51">
            <v>-3.4620000000000002E-3</v>
          </cell>
          <cell r="N51">
            <v>6.85</v>
          </cell>
          <cell r="O51">
            <v>13.55</v>
          </cell>
          <cell r="P51">
            <v>9388510</v>
          </cell>
          <cell r="Q51">
            <v>8281876</v>
          </cell>
          <cell r="R51">
            <v>0.83550000000000002</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45968.870802522659</v>
          </cell>
          <cell r="F53">
            <v>114.5</v>
          </cell>
          <cell r="G53">
            <v>115.17</v>
          </cell>
          <cell r="H53">
            <v>117.39</v>
          </cell>
          <cell r="I53">
            <v>114.9</v>
          </cell>
          <cell r="J53">
            <v>117.505</v>
          </cell>
          <cell r="K53">
            <v>17.064</v>
          </cell>
          <cell r="L53">
            <v>2.89</v>
          </cell>
          <cell r="M53">
            <v>2.5239999999999999E-2</v>
          </cell>
          <cell r="N53">
            <v>97.8</v>
          </cell>
          <cell r="O53">
            <v>123.21</v>
          </cell>
          <cell r="P53">
            <v>10244297</v>
          </cell>
          <cell r="Q53">
            <v>12589358</v>
          </cell>
          <cell r="R53">
            <v>0.38119999999999998</v>
          </cell>
        </row>
        <row r="54">
          <cell r="A54" t="str">
            <v>XPER</v>
          </cell>
          <cell r="D54" t="str">
            <v>USD</v>
          </cell>
          <cell r="E54">
            <v>45968.87075591406</v>
          </cell>
          <cell r="F54">
            <v>6.87</v>
          </cell>
          <cell r="G54">
            <v>6.6749999999999998</v>
          </cell>
          <cell r="H54">
            <v>6.5984999999999996</v>
          </cell>
          <cell r="I54">
            <v>6.5149999999999997</v>
          </cell>
          <cell r="J54">
            <v>6.82</v>
          </cell>
          <cell r="K54">
            <v>99</v>
          </cell>
          <cell r="L54">
            <v>-0.27150000000000002</v>
          </cell>
          <cell r="M54">
            <v>-3.952E-2</v>
          </cell>
          <cell r="N54">
            <v>5.6849999999999996</v>
          </cell>
          <cell r="O54">
            <v>11.074999999999999</v>
          </cell>
          <cell r="P54">
            <v>380699</v>
          </cell>
          <cell r="Q54">
            <v>484403</v>
          </cell>
          <cell r="R54">
            <v>1.135</v>
          </cell>
        </row>
        <row r="55">
          <cell r="A55" t="str">
            <v>MVEALDNE</v>
          </cell>
          <cell r="D55" t="str">
            <v>EUR</v>
          </cell>
          <cell r="E55">
            <v>45968.708333333336</v>
          </cell>
          <cell r="F55">
            <v>0.78200000000000003</v>
          </cell>
          <cell r="G55">
            <v>0.78</v>
          </cell>
          <cell r="H55">
            <v>0.78</v>
          </cell>
          <cell r="I55">
            <v>0.76200000000000001</v>
          </cell>
          <cell r="J55">
            <v>0.78200000000000003</v>
          </cell>
          <cell r="K55">
            <v>0</v>
          </cell>
          <cell r="L55">
            <v>-2E-3</v>
          </cell>
          <cell r="M55">
            <v>-2.5580000000000004E-3</v>
          </cell>
          <cell r="N55">
            <v>0.65</v>
          </cell>
          <cell r="O55">
            <v>1.53</v>
          </cell>
          <cell r="P55">
            <v>2114</v>
          </cell>
          <cell r="Q55">
            <v>6470</v>
          </cell>
          <cell r="R55">
            <v>0.95709999999999995</v>
          </cell>
        </row>
        <row r="56">
          <cell r="A56" t="str">
            <v>MVEDDD</v>
          </cell>
          <cell r="D56" t="str">
            <v>USD</v>
          </cell>
          <cell r="E56">
            <v>45968.870802858597</v>
          </cell>
          <cell r="F56">
            <v>2.25</v>
          </cell>
          <cell r="G56">
            <v>2.2200000000000002</v>
          </cell>
          <cell r="H56">
            <v>2.2250000000000001</v>
          </cell>
          <cell r="I56">
            <v>2.145</v>
          </cell>
          <cell r="J56">
            <v>2.27</v>
          </cell>
          <cell r="K56">
            <v>0</v>
          </cell>
          <cell r="L56">
            <v>-2.5000000000000001E-2</v>
          </cell>
          <cell r="M56">
            <v>-1.1110999999999999E-2</v>
          </cell>
          <cell r="N56">
            <v>1.32</v>
          </cell>
          <cell r="O56">
            <v>4.9991000000000003</v>
          </cell>
          <cell r="P56">
            <v>2472948</v>
          </cell>
          <cell r="Q56">
            <v>4513661</v>
          </cell>
          <cell r="R56">
            <v>1.9112</v>
          </cell>
        </row>
        <row r="57">
          <cell r="A57" t="str">
            <v>MVEDSY</v>
          </cell>
          <cell r="D57" t="str">
            <v>EUR</v>
          </cell>
          <cell r="E57">
            <v>45968.708333333336</v>
          </cell>
          <cell r="F57">
            <v>23.26</v>
          </cell>
          <cell r="G57">
            <v>23.34</v>
          </cell>
          <cell r="H57">
            <v>23.34</v>
          </cell>
          <cell r="I57">
            <v>23.03</v>
          </cell>
          <cell r="J57">
            <v>23.48</v>
          </cell>
          <cell r="K57">
            <v>25.988800000000001</v>
          </cell>
          <cell r="L57">
            <v>0.08</v>
          </cell>
          <cell r="M57">
            <v>3.4389999999999998E-3</v>
          </cell>
          <cell r="N57">
            <v>23.03</v>
          </cell>
          <cell r="O57">
            <v>41.17</v>
          </cell>
          <cell r="P57">
            <v>2490088</v>
          </cell>
          <cell r="Q57">
            <v>2566620</v>
          </cell>
          <cell r="R57">
            <v>0.79359999999999997</v>
          </cell>
        </row>
        <row r="58">
          <cell r="A58" t="str">
            <v>MVEEOAN</v>
          </cell>
          <cell r="D58" t="str">
            <v>EUR</v>
          </cell>
          <cell r="E58">
            <v>45968.857638888891</v>
          </cell>
          <cell r="F58">
            <v>16.079999999999998</v>
          </cell>
          <cell r="G58">
            <v>16.105</v>
          </cell>
          <cell r="H58">
            <v>16.105</v>
          </cell>
          <cell r="I58">
            <v>15.994999999999999</v>
          </cell>
          <cell r="J58">
            <v>16.155000000000001</v>
          </cell>
          <cell r="K58">
            <v>13.309900000000001</v>
          </cell>
          <cell r="L58">
            <v>2.5000000000000001E-2</v>
          </cell>
          <cell r="M58">
            <v>1.555E-3</v>
          </cell>
          <cell r="N58">
            <v>7.3</v>
          </cell>
          <cell r="O58">
            <v>16.515000000000001</v>
          </cell>
          <cell r="P58">
            <v>3946</v>
          </cell>
          <cell r="Q58">
            <v>2864900</v>
          </cell>
          <cell r="R58">
            <v>0.85299999999999998</v>
          </cell>
        </row>
        <row r="59">
          <cell r="A59" t="str">
            <v>MVEENI</v>
          </cell>
          <cell r="D59" t="str">
            <v>EUR</v>
          </cell>
          <cell r="E59">
            <v>45968.708333333336</v>
          </cell>
          <cell r="F59">
            <v>15.948</v>
          </cell>
          <cell r="G59">
            <v>16.010000000000002</v>
          </cell>
          <cell r="H59">
            <v>15.932</v>
          </cell>
          <cell r="I59">
            <v>15.784000000000001</v>
          </cell>
          <cell r="J59">
            <v>16.047999999999998</v>
          </cell>
          <cell r="K59">
            <v>17.5947</v>
          </cell>
          <cell r="L59">
            <v>-1.6E-2</v>
          </cell>
          <cell r="M59">
            <v>-1.003E-3</v>
          </cell>
          <cell r="N59">
            <v>11.01</v>
          </cell>
          <cell r="O59">
            <v>16.11</v>
          </cell>
          <cell r="P59">
            <v>7401986</v>
          </cell>
          <cell r="Q59">
            <v>12415140</v>
          </cell>
          <cell r="R59">
            <v>0.82989999999999997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45968.708333333336</v>
          </cell>
          <cell r="F61">
            <v>55.8</v>
          </cell>
          <cell r="G61">
            <v>56.08</v>
          </cell>
          <cell r="H61">
            <v>54.64</v>
          </cell>
          <cell r="I61">
            <v>54.3</v>
          </cell>
          <cell r="J61">
            <v>56.12</v>
          </cell>
          <cell r="K61">
            <v>8.7498000000000005</v>
          </cell>
          <cell r="L61">
            <v>-1.1599999999999999</v>
          </cell>
          <cell r="M61">
            <v>-2.0788999999999998E-2</v>
          </cell>
          <cell r="N61">
            <v>24.03</v>
          </cell>
          <cell r="O61">
            <v>59.42</v>
          </cell>
          <cell r="P61">
            <v>1484276</v>
          </cell>
          <cell r="Q61">
            <v>2071700</v>
          </cell>
          <cell r="R61">
            <v>1.3861000000000001</v>
          </cell>
        </row>
        <row r="62">
          <cell r="A62" t="str">
            <v>MVEORA</v>
          </cell>
          <cell r="D62" t="str">
            <v>EUR</v>
          </cell>
          <cell r="E62">
            <v>45968.708333333336</v>
          </cell>
          <cell r="F62">
            <v>13.94</v>
          </cell>
          <cell r="G62">
            <v>13.95</v>
          </cell>
          <cell r="H62">
            <v>14.164999999999999</v>
          </cell>
          <cell r="I62">
            <v>13.9</v>
          </cell>
          <cell r="J62">
            <v>14.27</v>
          </cell>
          <cell r="K62">
            <v>44.741</v>
          </cell>
          <cell r="L62">
            <v>0.22500000000000001</v>
          </cell>
          <cell r="M62">
            <v>1.6141000000000003E-2</v>
          </cell>
          <cell r="N62">
            <v>9.3699999999999992</v>
          </cell>
          <cell r="O62">
            <v>14.56</v>
          </cell>
          <cell r="P62">
            <v>3771241</v>
          </cell>
          <cell r="Q62">
            <v>3489020</v>
          </cell>
          <cell r="R62">
            <v>0.2382</v>
          </cell>
        </row>
        <row r="63">
          <cell r="A63" t="str">
            <v>MVERWE</v>
          </cell>
          <cell r="D63" t="str">
            <v>EUR</v>
          </cell>
          <cell r="E63">
            <v>45968.859722222223</v>
          </cell>
          <cell r="F63">
            <v>43.09</v>
          </cell>
          <cell r="G63">
            <v>43.11</v>
          </cell>
          <cell r="H63">
            <v>42.91</v>
          </cell>
          <cell r="I63">
            <v>42.36</v>
          </cell>
          <cell r="J63">
            <v>43.33</v>
          </cell>
          <cell r="K63">
            <v>12.2951</v>
          </cell>
          <cell r="L63">
            <v>-0.18</v>
          </cell>
          <cell r="M63">
            <v>-4.1770000000000002E-3</v>
          </cell>
          <cell r="N63">
            <v>14.231</v>
          </cell>
          <cell r="O63">
            <v>44.03</v>
          </cell>
          <cell r="P63">
            <v>8208</v>
          </cell>
          <cell r="Q63">
            <v>1843470</v>
          </cell>
          <cell r="R63">
            <v>0.47949999999999998</v>
          </cell>
        </row>
        <row r="64">
          <cell r="A64" t="str">
            <v>MVESAP</v>
          </cell>
          <cell r="D64" t="str">
            <v>EUR</v>
          </cell>
          <cell r="E64">
            <v>45968.8125</v>
          </cell>
          <cell r="F64">
            <v>217.95</v>
          </cell>
          <cell r="G64">
            <v>219.65</v>
          </cell>
          <cell r="H64">
            <v>215.65</v>
          </cell>
          <cell r="I64">
            <v>215.1</v>
          </cell>
          <cell r="J64">
            <v>220</v>
          </cell>
          <cell r="K64">
            <v>35.522500000000001</v>
          </cell>
          <cell r="L64">
            <v>-2.2999999999999998</v>
          </cell>
          <cell r="M64">
            <v>-1.0553E-2</v>
          </cell>
          <cell r="N64">
            <v>209.7</v>
          </cell>
          <cell r="O64">
            <v>283.5</v>
          </cell>
          <cell r="P64">
            <v>1495029</v>
          </cell>
          <cell r="Q64">
            <v>1289070</v>
          </cell>
          <cell r="R64">
            <v>1.0488</v>
          </cell>
        </row>
        <row r="65">
          <cell r="A65" t="str">
            <v>MVEUN0</v>
          </cell>
          <cell r="D65" t="str">
            <v>EUR</v>
          </cell>
          <cell r="E65">
            <v>45968.834722222222</v>
          </cell>
          <cell r="F65">
            <v>27.95</v>
          </cell>
          <cell r="G65">
            <v>28.4</v>
          </cell>
          <cell r="H65">
            <v>28.5</v>
          </cell>
          <cell r="I65">
            <v>28.4</v>
          </cell>
          <cell r="J65">
            <v>28.5</v>
          </cell>
          <cell r="K65">
            <v>99</v>
          </cell>
          <cell r="L65">
            <v>0.55000000000000004</v>
          </cell>
          <cell r="M65">
            <v>1.9678000000000001E-2</v>
          </cell>
          <cell r="N65">
            <v>2.1</v>
          </cell>
          <cell r="O65">
            <v>73.5</v>
          </cell>
          <cell r="P65">
            <v>60</v>
          </cell>
          <cell r="Q65">
            <v>5290</v>
          </cell>
          <cell r="R65">
            <v>1.0959000000000001</v>
          </cell>
        </row>
        <row r="66">
          <cell r="A66" t="str">
            <v>SAFAAPL</v>
          </cell>
          <cell r="D66" t="str">
            <v>USD</v>
          </cell>
          <cell r="E66">
            <v>45968.870792939066</v>
          </cell>
          <cell r="F66">
            <v>269.77</v>
          </cell>
          <cell r="G66">
            <v>269.77</v>
          </cell>
          <cell r="H66">
            <v>267.99700000000001</v>
          </cell>
          <cell r="I66">
            <v>266.77999999999997</v>
          </cell>
          <cell r="J66">
            <v>272.29000000000002</v>
          </cell>
          <cell r="K66">
            <v>36.086100000000002</v>
          </cell>
          <cell r="L66">
            <v>-1.7729999999999999</v>
          </cell>
          <cell r="M66">
            <v>-6.5719999999999997E-3</v>
          </cell>
          <cell r="N66">
            <v>169.21010000000001</v>
          </cell>
          <cell r="O66">
            <v>277.32</v>
          </cell>
          <cell r="P66">
            <v>36177947</v>
          </cell>
          <cell r="Q66">
            <v>48006189</v>
          </cell>
          <cell r="R66">
            <v>1.1053999999999999</v>
          </cell>
        </row>
        <row r="67">
          <cell r="A67" t="str">
            <v>SAFAMZN</v>
          </cell>
          <cell r="D67" t="str">
            <v>USD</v>
          </cell>
          <cell r="E67">
            <v>45968.870781133592</v>
          </cell>
          <cell r="F67">
            <v>243.04</v>
          </cell>
          <cell r="G67">
            <v>243</v>
          </cell>
          <cell r="H67">
            <v>244.56</v>
          </cell>
          <cell r="I67">
            <v>238.49</v>
          </cell>
          <cell r="J67">
            <v>244.9</v>
          </cell>
          <cell r="K67">
            <v>34.5473</v>
          </cell>
          <cell r="L67">
            <v>1.52</v>
          </cell>
          <cell r="M67">
            <v>6.2539999999999991E-3</v>
          </cell>
          <cell r="N67">
            <v>161.38</v>
          </cell>
          <cell r="O67">
            <v>258.60000000000002</v>
          </cell>
          <cell r="P67">
            <v>37371756</v>
          </cell>
          <cell r="Q67">
            <v>53833734</v>
          </cell>
          <cell r="R67">
            <v>1.3611</v>
          </cell>
        </row>
        <row r="68">
          <cell r="A68" t="str">
            <v>SAFASML</v>
          </cell>
          <cell r="D68" t="str">
            <v>EUR</v>
          </cell>
          <cell r="E68">
            <v>45968.708333333336</v>
          </cell>
          <cell r="F68">
            <v>895.3</v>
          </cell>
          <cell r="G68">
            <v>899</v>
          </cell>
          <cell r="H68">
            <v>870.8</v>
          </cell>
          <cell r="I68">
            <v>870.8</v>
          </cell>
          <cell r="J68">
            <v>900.9</v>
          </cell>
          <cell r="K68">
            <v>33.435600000000001</v>
          </cell>
          <cell r="L68">
            <v>-24.5</v>
          </cell>
          <cell r="M68">
            <v>-2.7365E-2</v>
          </cell>
          <cell r="N68">
            <v>508.4</v>
          </cell>
          <cell r="O68">
            <v>938.6</v>
          </cell>
          <cell r="P68">
            <v>767828</v>
          </cell>
          <cell r="Q68">
            <v>539670</v>
          </cell>
          <cell r="R68">
            <v>2.1183000000000001</v>
          </cell>
        </row>
        <row r="69">
          <cell r="A69" t="str">
            <v>SAFDDD</v>
          </cell>
          <cell r="D69" t="str">
            <v>USD</v>
          </cell>
          <cell r="E69">
            <v>45968.870802858597</v>
          </cell>
          <cell r="F69">
            <v>2.25</v>
          </cell>
          <cell r="G69">
            <v>2.2200000000000002</v>
          </cell>
          <cell r="H69">
            <v>2.2250000000000001</v>
          </cell>
          <cell r="I69">
            <v>2.145</v>
          </cell>
          <cell r="J69">
            <v>2.27</v>
          </cell>
          <cell r="K69">
            <v>0</v>
          </cell>
          <cell r="L69">
            <v>-2.5000000000000001E-2</v>
          </cell>
          <cell r="M69">
            <v>-1.1110999999999999E-2</v>
          </cell>
          <cell r="N69">
            <v>1.32</v>
          </cell>
          <cell r="O69">
            <v>4.9991000000000003</v>
          </cell>
          <cell r="P69">
            <v>2472948</v>
          </cell>
          <cell r="Q69">
            <v>4513661</v>
          </cell>
          <cell r="R69">
            <v>1.9112</v>
          </cell>
        </row>
        <row r="70">
          <cell r="A70" t="str">
            <v>SAFDIS</v>
          </cell>
          <cell r="D70" t="str">
            <v>USD</v>
          </cell>
          <cell r="E70">
            <v>45968.870786099222</v>
          </cell>
          <cell r="F70">
            <v>110.49</v>
          </cell>
          <cell r="G70">
            <v>110.35</v>
          </cell>
          <cell r="H70">
            <v>110.73</v>
          </cell>
          <cell r="I70">
            <v>110.04</v>
          </cell>
          <cell r="J70">
            <v>111.425</v>
          </cell>
          <cell r="K70">
            <v>17.360199999999999</v>
          </cell>
          <cell r="L70">
            <v>0.24</v>
          </cell>
          <cell r="M70">
            <v>2.1719999999999999E-3</v>
          </cell>
          <cell r="N70">
            <v>80.099999999999994</v>
          </cell>
          <cell r="O70">
            <v>124.69</v>
          </cell>
          <cell r="P70">
            <v>6540930</v>
          </cell>
          <cell r="Q70">
            <v>7533891</v>
          </cell>
          <cell r="R70">
            <v>1.4843999999999999</v>
          </cell>
        </row>
        <row r="71">
          <cell r="A71" t="str">
            <v>SAFGM</v>
          </cell>
          <cell r="D71" t="str">
            <v>USD</v>
          </cell>
          <cell r="E71">
            <v>45968.870778610937</v>
          </cell>
          <cell r="F71">
            <v>68.84</v>
          </cell>
          <cell r="G71">
            <v>68.94</v>
          </cell>
          <cell r="H71">
            <v>70.66</v>
          </cell>
          <cell r="I71">
            <v>68.58</v>
          </cell>
          <cell r="J71">
            <v>70.734999999999999</v>
          </cell>
          <cell r="K71">
            <v>13.5906</v>
          </cell>
          <cell r="L71">
            <v>1.82</v>
          </cell>
          <cell r="M71">
            <v>2.6438000000000003E-2</v>
          </cell>
          <cell r="N71">
            <v>41.6</v>
          </cell>
          <cell r="O71">
            <v>70.734999999999999</v>
          </cell>
          <cell r="P71">
            <v>5637542</v>
          </cell>
          <cell r="Q71">
            <v>10498677</v>
          </cell>
          <cell r="R71">
            <v>1.3052999999999999</v>
          </cell>
        </row>
        <row r="72">
          <cell r="A72" t="str">
            <v>SAFIAG</v>
          </cell>
          <cell r="D72" t="str">
            <v>GBp</v>
          </cell>
          <cell r="E72">
            <v>45968.676040161721</v>
          </cell>
          <cell r="F72">
            <v>414.1</v>
          </cell>
          <cell r="G72">
            <v>388</v>
          </cell>
          <cell r="H72">
            <v>366.2</v>
          </cell>
          <cell r="I72">
            <v>366.2</v>
          </cell>
          <cell r="J72">
            <v>389.2</v>
          </cell>
          <cell r="K72">
            <v>6.6745000000000001</v>
          </cell>
          <cell r="L72">
            <v>-47.9</v>
          </cell>
          <cell r="M72">
            <v>-0.115673</v>
          </cell>
          <cell r="N72">
            <v>207.6</v>
          </cell>
          <cell r="O72">
            <v>429.3</v>
          </cell>
          <cell r="P72">
            <v>51664851</v>
          </cell>
          <cell r="Q72">
            <v>13416260</v>
          </cell>
          <cell r="R72">
            <v>2.3001999999999998</v>
          </cell>
        </row>
        <row r="73">
          <cell r="A73" t="str">
            <v>SAFMRNA</v>
          </cell>
          <cell r="D73" t="str">
            <v>USD</v>
          </cell>
          <cell r="E73">
            <v>45968.870799733595</v>
          </cell>
          <cell r="F73">
            <v>24.33</v>
          </cell>
          <cell r="G73">
            <v>23.87</v>
          </cell>
          <cell r="H73">
            <v>24.524999999999999</v>
          </cell>
          <cell r="I73">
            <v>23.4</v>
          </cell>
          <cell r="J73">
            <v>24.524999999999999</v>
          </cell>
          <cell r="K73">
            <v>0</v>
          </cell>
          <cell r="L73">
            <v>0.19500000000000001</v>
          </cell>
          <cell r="M73">
            <v>8.0149999999999996E-3</v>
          </cell>
          <cell r="N73">
            <v>23.15</v>
          </cell>
          <cell r="O73">
            <v>56.695</v>
          </cell>
          <cell r="P73">
            <v>8648447</v>
          </cell>
          <cell r="Q73">
            <v>11202589</v>
          </cell>
          <cell r="R73">
            <v>1.1258999999999999</v>
          </cell>
        </row>
        <row r="74">
          <cell r="A74" t="str">
            <v>BLNK</v>
          </cell>
          <cell r="D74" t="str">
            <v>USD</v>
          </cell>
          <cell r="E74">
            <v>45968.870746214845</v>
          </cell>
          <cell r="F74">
            <v>1.51</v>
          </cell>
          <cell r="G74">
            <v>1.37</v>
          </cell>
          <cell r="H74">
            <v>1.5899000000000001</v>
          </cell>
          <cell r="I74">
            <v>1.3501000000000001</v>
          </cell>
          <cell r="J74">
            <v>1.6</v>
          </cell>
          <cell r="K74">
            <v>0</v>
          </cell>
          <cell r="L74">
            <v>7.9899999999999999E-2</v>
          </cell>
          <cell r="M74">
            <v>5.2914000000000003E-2</v>
          </cell>
          <cell r="N74">
            <v>0.63009999999999999</v>
          </cell>
          <cell r="O74">
            <v>2.6499000000000001</v>
          </cell>
          <cell r="P74">
            <v>2753308</v>
          </cell>
          <cell r="Q74">
            <v>5845744</v>
          </cell>
          <cell r="R74">
            <v>1.8828</v>
          </cell>
        </row>
        <row r="75">
          <cell r="A75" t="str">
            <v>ENI</v>
          </cell>
          <cell r="D75" t="str">
            <v>EUR</v>
          </cell>
          <cell r="E75">
            <v>45968.708333333336</v>
          </cell>
          <cell r="F75">
            <v>15.948</v>
          </cell>
          <cell r="G75">
            <v>16.010000000000002</v>
          </cell>
          <cell r="H75">
            <v>15.932</v>
          </cell>
          <cell r="I75">
            <v>15.784000000000001</v>
          </cell>
          <cell r="J75">
            <v>16.047999999999998</v>
          </cell>
          <cell r="K75">
            <v>17.5947</v>
          </cell>
          <cell r="L75">
            <v>-1.6E-2</v>
          </cell>
          <cell r="M75">
            <v>-1.003E-3</v>
          </cell>
          <cell r="N75">
            <v>11.01</v>
          </cell>
          <cell r="O75">
            <v>16.11</v>
          </cell>
          <cell r="P75">
            <v>7401986</v>
          </cell>
          <cell r="Q75">
            <v>12415140</v>
          </cell>
          <cell r="R75">
            <v>0.82989999999999997</v>
          </cell>
        </row>
        <row r="76">
          <cell r="A76" t="str">
            <v>EZJ</v>
          </cell>
          <cell r="D76" t="str">
            <v>GBp</v>
          </cell>
          <cell r="E76">
            <v>45968.652595601561</v>
          </cell>
          <cell r="F76">
            <v>478.5</v>
          </cell>
          <cell r="G76">
            <v>478.5</v>
          </cell>
          <cell r="H76">
            <v>471.4</v>
          </cell>
          <cell r="I76">
            <v>463.7</v>
          </cell>
          <cell r="J76">
            <v>478.5</v>
          </cell>
          <cell r="K76">
            <v>8.5350000000000001</v>
          </cell>
          <cell r="L76">
            <v>-7.1</v>
          </cell>
          <cell r="M76">
            <v>-1.4838E-2</v>
          </cell>
          <cell r="N76">
            <v>401.05</v>
          </cell>
          <cell r="O76">
            <v>594</v>
          </cell>
          <cell r="P76">
            <v>3447479</v>
          </cell>
          <cell r="Q76">
            <v>3367950</v>
          </cell>
          <cell r="R76">
            <v>2.2387999999999999</v>
          </cell>
        </row>
        <row r="77">
          <cell r="A77" t="str">
            <v>F</v>
          </cell>
          <cell r="D77" t="str">
            <v>USD</v>
          </cell>
          <cell r="E77">
            <v>45968.870775428128</v>
          </cell>
          <cell r="F77">
            <v>12.97</v>
          </cell>
          <cell r="G77">
            <v>12.95</v>
          </cell>
          <cell r="H77">
            <v>13.205</v>
          </cell>
          <cell r="I77">
            <v>12.95</v>
          </cell>
          <cell r="J77">
            <v>13.24</v>
          </cell>
          <cell r="K77">
            <v>11.339600000000001</v>
          </cell>
          <cell r="L77">
            <v>0.23499999999999999</v>
          </cell>
          <cell r="M77">
            <v>1.8119E-2</v>
          </cell>
          <cell r="N77">
            <v>8.4405999999999999</v>
          </cell>
          <cell r="O77">
            <v>13.97</v>
          </cell>
          <cell r="P77">
            <v>69094524</v>
          </cell>
          <cell r="Q77">
            <v>137707870</v>
          </cell>
          <cell r="R77">
            <v>1.5939000000000001</v>
          </cell>
        </row>
        <row r="78">
          <cell r="A78" t="str">
            <v>GLE</v>
          </cell>
          <cell r="D78" t="str">
            <v>EUR</v>
          </cell>
          <cell r="E78">
            <v>45968.708333333336</v>
          </cell>
          <cell r="F78">
            <v>55.8</v>
          </cell>
          <cell r="G78">
            <v>56.08</v>
          </cell>
          <cell r="H78">
            <v>54.64</v>
          </cell>
          <cell r="I78">
            <v>54.3</v>
          </cell>
          <cell r="J78">
            <v>56.12</v>
          </cell>
          <cell r="K78">
            <v>8.7498000000000005</v>
          </cell>
          <cell r="L78">
            <v>-1.1599999999999999</v>
          </cell>
          <cell r="M78">
            <v>-2.0788999999999998E-2</v>
          </cell>
          <cell r="N78">
            <v>24.03</v>
          </cell>
          <cell r="O78">
            <v>59.42</v>
          </cell>
          <cell r="P78">
            <v>1484276</v>
          </cell>
          <cell r="Q78">
            <v>2071700</v>
          </cell>
          <cell r="R78">
            <v>1.3861000000000001</v>
          </cell>
        </row>
        <row r="79">
          <cell r="A79" t="str">
            <v>GNRC</v>
          </cell>
          <cell r="D79" t="str">
            <v>USD</v>
          </cell>
          <cell r="E79">
            <v>45968.870756168748</v>
          </cell>
          <cell r="F79">
            <v>153.79</v>
          </cell>
          <cell r="G79">
            <v>152.28</v>
          </cell>
          <cell r="H79">
            <v>154.62</v>
          </cell>
          <cell r="I79">
            <v>150.08000000000001</v>
          </cell>
          <cell r="J79">
            <v>156.13</v>
          </cell>
          <cell r="K79">
            <v>29.421199999999999</v>
          </cell>
          <cell r="L79">
            <v>0.83</v>
          </cell>
          <cell r="M79">
            <v>5.3969999999999999E-3</v>
          </cell>
          <cell r="N79">
            <v>99.5</v>
          </cell>
          <cell r="O79">
            <v>203.2499</v>
          </cell>
          <cell r="P79">
            <v>952915</v>
          </cell>
          <cell r="Q79">
            <v>1295183</v>
          </cell>
          <cell r="R79">
            <v>1.8205</v>
          </cell>
        </row>
        <row r="80">
          <cell r="A80" t="str">
            <v>GS</v>
          </cell>
          <cell r="D80" t="str">
            <v>USD</v>
          </cell>
          <cell r="E80">
            <v>45968.870797128904</v>
          </cell>
          <cell r="F80">
            <v>787.58</v>
          </cell>
          <cell r="G80">
            <v>782.4</v>
          </cell>
          <cell r="H80">
            <v>785.35500000000002</v>
          </cell>
          <cell r="I80">
            <v>762.8</v>
          </cell>
          <cell r="J80">
            <v>785.55489999999998</v>
          </cell>
          <cell r="K80">
            <v>15.9537</v>
          </cell>
          <cell r="L80">
            <v>-2.2250000000000001</v>
          </cell>
          <cell r="M80">
            <v>-2.8249999999999998E-3</v>
          </cell>
          <cell r="N80">
            <v>439.38</v>
          </cell>
          <cell r="O80">
            <v>825.25</v>
          </cell>
          <cell r="P80">
            <v>1676214</v>
          </cell>
          <cell r="Q80">
            <v>2106003</v>
          </cell>
          <cell r="R80">
            <v>1.3469</v>
          </cell>
        </row>
        <row r="81">
          <cell r="A81" t="str">
            <v>LAZR</v>
          </cell>
          <cell r="D81" t="str">
            <v>USD</v>
          </cell>
          <cell r="E81">
            <v>45968.870737221878</v>
          </cell>
          <cell r="F81">
            <v>1.1499999999999999</v>
          </cell>
          <cell r="G81">
            <v>1.1599999999999999</v>
          </cell>
          <cell r="H81">
            <v>1.2450000000000001</v>
          </cell>
          <cell r="I81">
            <v>1.1299999999999999</v>
          </cell>
          <cell r="J81">
            <v>1.27</v>
          </cell>
          <cell r="K81">
            <v>0</v>
          </cell>
          <cell r="L81">
            <v>9.5000000000000001E-2</v>
          </cell>
          <cell r="M81">
            <v>8.2608999999999988E-2</v>
          </cell>
          <cell r="N81">
            <v>1.08</v>
          </cell>
          <cell r="O81">
            <v>18.600000000000001</v>
          </cell>
          <cell r="P81">
            <v>4135053</v>
          </cell>
          <cell r="Q81">
            <v>11614984</v>
          </cell>
          <cell r="R81">
            <v>1.4366000000000001</v>
          </cell>
        </row>
        <row r="82">
          <cell r="A82" t="str">
            <v>LUV</v>
          </cell>
          <cell r="D82" t="str">
            <v>USD</v>
          </cell>
          <cell r="E82">
            <v>45968.870768807814</v>
          </cell>
          <cell r="F82">
            <v>31.51</v>
          </cell>
          <cell r="G82">
            <v>31.16</v>
          </cell>
          <cell r="H82">
            <v>32.365000000000002</v>
          </cell>
          <cell r="I82">
            <v>30.844999999999999</v>
          </cell>
          <cell r="J82">
            <v>32.380000000000003</v>
          </cell>
          <cell r="K82">
            <v>48.370899999999999</v>
          </cell>
          <cell r="L82">
            <v>0.85499999999999998</v>
          </cell>
          <cell r="M82">
            <v>2.7134000000000002E-2</v>
          </cell>
          <cell r="N82">
            <v>23.815000000000001</v>
          </cell>
          <cell r="O82">
            <v>37.96</v>
          </cell>
          <cell r="P82">
            <v>6397522</v>
          </cell>
          <cell r="Q82">
            <v>9970100</v>
          </cell>
          <cell r="R82">
            <v>1.1620999999999999</v>
          </cell>
        </row>
        <row r="83">
          <cell r="A83" t="str">
            <v>MA</v>
          </cell>
          <cell r="D83" t="str">
            <v>USD</v>
          </cell>
          <cell r="E83">
            <v>45968.870784907034</v>
          </cell>
          <cell r="F83">
            <v>553.28</v>
          </cell>
          <cell r="G83">
            <v>553.75</v>
          </cell>
          <cell r="H83">
            <v>551.29999999999995</v>
          </cell>
          <cell r="I83">
            <v>550.66999999999996</v>
          </cell>
          <cell r="J83">
            <v>558.66999999999996</v>
          </cell>
          <cell r="K83">
            <v>35.249600000000001</v>
          </cell>
          <cell r="L83">
            <v>-1.98</v>
          </cell>
          <cell r="M83">
            <v>-3.5790000000000001E-3</v>
          </cell>
          <cell r="N83">
            <v>465.59</v>
          </cell>
          <cell r="O83">
            <v>601.77</v>
          </cell>
          <cell r="P83">
            <v>1662970</v>
          </cell>
          <cell r="Q83">
            <v>2708059</v>
          </cell>
          <cell r="R83">
            <v>0.8629</v>
          </cell>
        </row>
        <row r="84">
          <cell r="A84" t="str">
            <v>NVAX</v>
          </cell>
          <cell r="D84" t="str">
            <v>USD</v>
          </cell>
          <cell r="E84">
            <v>45968.870771296097</v>
          </cell>
          <cell r="F84">
            <v>7.59</v>
          </cell>
          <cell r="G84">
            <v>7.46</v>
          </cell>
          <cell r="H84">
            <v>7.4089999999999998</v>
          </cell>
          <cell r="I84">
            <v>7.2801</v>
          </cell>
          <cell r="J84">
            <v>7.64</v>
          </cell>
          <cell r="K84">
            <v>3.2393000000000001</v>
          </cell>
          <cell r="L84">
            <v>-0.18099999999999999</v>
          </cell>
          <cell r="M84">
            <v>-2.3847E-2</v>
          </cell>
          <cell r="N84">
            <v>5.01</v>
          </cell>
          <cell r="O84">
            <v>11.55</v>
          </cell>
          <cell r="P84">
            <v>3913201</v>
          </cell>
          <cell r="Q84">
            <v>4326412</v>
          </cell>
          <cell r="R84">
            <v>2.3031999999999999</v>
          </cell>
        </row>
        <row r="85">
          <cell r="A85" t="str">
            <v>NVS</v>
          </cell>
          <cell r="D85" t="str">
            <v>USD</v>
          </cell>
          <cell r="E85">
            <v>45968.870789964843</v>
          </cell>
          <cell r="F85">
            <v>126.57</v>
          </cell>
          <cell r="G85">
            <v>126.47</v>
          </cell>
          <cell r="H85">
            <v>126.45</v>
          </cell>
          <cell r="I85">
            <v>126.0001</v>
          </cell>
          <cell r="J85">
            <v>126.96</v>
          </cell>
          <cell r="K85">
            <v>17.293500000000002</v>
          </cell>
          <cell r="L85">
            <v>-0.12</v>
          </cell>
          <cell r="M85">
            <v>-9.4810000000000001E-4</v>
          </cell>
          <cell r="N85">
            <v>96.061999999999998</v>
          </cell>
          <cell r="O85">
            <v>133.55000000000001</v>
          </cell>
          <cell r="P85">
            <v>1208864</v>
          </cell>
          <cell r="Q85">
            <v>1748744</v>
          </cell>
          <cell r="R85">
            <v>0.50970000000000004</v>
          </cell>
        </row>
        <row r="86">
          <cell r="A86" t="str">
            <v>ORA</v>
          </cell>
          <cell r="D86" t="str">
            <v>EUR</v>
          </cell>
          <cell r="E86">
            <v>45968.708333333336</v>
          </cell>
          <cell r="F86">
            <v>13.94</v>
          </cell>
          <cell r="G86">
            <v>13.95</v>
          </cell>
          <cell r="H86">
            <v>14.164999999999999</v>
          </cell>
          <cell r="I86">
            <v>13.9</v>
          </cell>
          <cell r="J86">
            <v>14.27</v>
          </cell>
          <cell r="K86">
            <v>44.741</v>
          </cell>
          <cell r="L86">
            <v>0.22500000000000001</v>
          </cell>
          <cell r="M86">
            <v>1.6141000000000003E-2</v>
          </cell>
          <cell r="N86">
            <v>9.3699999999999992</v>
          </cell>
          <cell r="O86">
            <v>14.56</v>
          </cell>
          <cell r="P86">
            <v>3771241</v>
          </cell>
          <cell r="Q86">
            <v>3489020</v>
          </cell>
          <cell r="R86">
            <v>0.2382</v>
          </cell>
        </row>
        <row r="87">
          <cell r="A87" t="str">
            <v>OXY</v>
          </cell>
          <cell r="D87" t="str">
            <v>USD</v>
          </cell>
          <cell r="E87">
            <v>45968.870783159378</v>
          </cell>
          <cell r="F87">
            <v>40.299999999999997</v>
          </cell>
          <cell r="G87">
            <v>40.42</v>
          </cell>
          <cell r="H87">
            <v>41.189300000000003</v>
          </cell>
          <cell r="I87">
            <v>40.31</v>
          </cell>
          <cell r="J87">
            <v>41.244999999999997</v>
          </cell>
          <cell r="K87">
            <v>24.261800000000001</v>
          </cell>
          <cell r="L87">
            <v>0.88929999999999998</v>
          </cell>
          <cell r="M87">
            <v>2.2067E-2</v>
          </cell>
          <cell r="N87">
            <v>34.784999999999997</v>
          </cell>
          <cell r="O87">
            <v>53.2</v>
          </cell>
          <cell r="P87">
            <v>7457657</v>
          </cell>
          <cell r="Q87">
            <v>10139632</v>
          </cell>
          <cell r="R87">
            <v>0.40039999999999998</v>
          </cell>
        </row>
        <row r="88">
          <cell r="A88" t="str">
            <v>PFE</v>
          </cell>
          <cell r="D88" t="str">
            <v>USD</v>
          </cell>
          <cell r="E88">
            <v>45968.870796515628</v>
          </cell>
          <cell r="F88">
            <v>24.42</v>
          </cell>
          <cell r="G88">
            <v>24.34</v>
          </cell>
          <cell r="H88">
            <v>24.375</v>
          </cell>
          <cell r="I88">
            <v>24.110900000000001</v>
          </cell>
          <cell r="J88">
            <v>24.63</v>
          </cell>
          <cell r="K88">
            <v>14.2079</v>
          </cell>
          <cell r="L88">
            <v>-4.4999999999999998E-2</v>
          </cell>
          <cell r="M88">
            <v>-1.843E-3</v>
          </cell>
          <cell r="N88">
            <v>20.914999999999999</v>
          </cell>
          <cell r="O88">
            <v>27.69</v>
          </cell>
          <cell r="P88">
            <v>105832530</v>
          </cell>
          <cell r="Q88">
            <v>69122134</v>
          </cell>
          <cell r="R88">
            <v>0.41820000000000002</v>
          </cell>
        </row>
        <row r="89">
          <cell r="A89" t="str">
            <v>RIG</v>
          </cell>
          <cell r="D89" t="str">
            <v>USD</v>
          </cell>
          <cell r="E89">
            <v>45968.870769803128</v>
          </cell>
          <cell r="F89">
            <v>3.9</v>
          </cell>
          <cell r="G89">
            <v>3.89</v>
          </cell>
          <cell r="H89">
            <v>3.96</v>
          </cell>
          <cell r="I89">
            <v>3.7940999999999998</v>
          </cell>
          <cell r="J89">
            <v>3.99</v>
          </cell>
          <cell r="K89">
            <v>0</v>
          </cell>
          <cell r="L89">
            <v>0.06</v>
          </cell>
          <cell r="M89">
            <v>1.5384999999999999E-2</v>
          </cell>
          <cell r="N89">
            <v>1.97</v>
          </cell>
          <cell r="O89">
            <v>4.68</v>
          </cell>
          <cell r="P89">
            <v>35429579</v>
          </cell>
          <cell r="Q89">
            <v>58331970</v>
          </cell>
          <cell r="R89">
            <v>1.4028</v>
          </cell>
        </row>
        <row r="90">
          <cell r="A90" t="str">
            <v>RRC</v>
          </cell>
          <cell r="D90" t="str">
            <v>USD</v>
          </cell>
          <cell r="E90">
            <v>45968.870796642972</v>
          </cell>
          <cell r="F90">
            <v>36.729999999999997</v>
          </cell>
          <cell r="G90">
            <v>36.58</v>
          </cell>
          <cell r="H90">
            <v>37.43</v>
          </cell>
          <cell r="I90">
            <v>36.21</v>
          </cell>
          <cell r="J90">
            <v>37.615000000000002</v>
          </cell>
          <cell r="K90">
            <v>15.718299999999999</v>
          </cell>
          <cell r="L90">
            <v>0.7</v>
          </cell>
          <cell r="M90">
            <v>1.9057999999999999E-2</v>
          </cell>
          <cell r="N90">
            <v>30.32</v>
          </cell>
          <cell r="O90">
            <v>43.5</v>
          </cell>
          <cell r="P90">
            <v>1497331</v>
          </cell>
          <cell r="Q90">
            <v>3004696</v>
          </cell>
          <cell r="R90">
            <v>0.47449999999999998</v>
          </cell>
        </row>
        <row r="91">
          <cell r="A91" t="str">
            <v>XYZ</v>
          </cell>
          <cell r="D91" t="str">
            <v>USD</v>
          </cell>
          <cell r="E91">
            <v>45968.87078188594</v>
          </cell>
          <cell r="F91">
            <v>70.930000000000007</v>
          </cell>
          <cell r="G91">
            <v>60.77</v>
          </cell>
          <cell r="H91">
            <v>65.52</v>
          </cell>
          <cell r="I91">
            <v>60.77</v>
          </cell>
          <cell r="J91">
            <v>66.734999999999999</v>
          </cell>
          <cell r="K91">
            <v>38.691400000000002</v>
          </cell>
          <cell r="L91">
            <v>-5.41</v>
          </cell>
          <cell r="M91">
            <v>-7.6272000000000006E-2</v>
          </cell>
          <cell r="N91">
            <v>44.27</v>
          </cell>
          <cell r="O91">
            <v>99.26</v>
          </cell>
          <cell r="P91">
            <v>19040626</v>
          </cell>
          <cell r="Q91">
            <v>5582730</v>
          </cell>
          <cell r="R91">
            <v>2.6457000000000002</v>
          </cell>
        </row>
        <row r="92">
          <cell r="A92" t="str">
            <v>THC</v>
          </cell>
          <cell r="D92" t="str">
            <v>USD</v>
          </cell>
          <cell r="E92">
            <v>45968.870676296094</v>
          </cell>
          <cell r="F92">
            <v>204.19</v>
          </cell>
          <cell r="G92">
            <v>204.51</v>
          </cell>
          <cell r="H92">
            <v>204.845</v>
          </cell>
          <cell r="I92">
            <v>201.96</v>
          </cell>
          <cell r="J92">
            <v>206.23</v>
          </cell>
          <cell r="K92">
            <v>13.6149</v>
          </cell>
          <cell r="L92">
            <v>0.65500000000000003</v>
          </cell>
          <cell r="M92">
            <v>3.2079999999999999E-3</v>
          </cell>
          <cell r="N92">
            <v>109.82389999999999</v>
          </cell>
          <cell r="O92">
            <v>217.42500000000001</v>
          </cell>
          <cell r="P92">
            <v>362753</v>
          </cell>
          <cell r="Q92">
            <v>1066425</v>
          </cell>
          <cell r="R92">
            <v>1.4489000000000001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45968.729178240741</v>
          </cell>
          <cell r="F94">
            <v>10.199999999999999</v>
          </cell>
          <cell r="G94">
            <v>10.226000000000001</v>
          </cell>
          <cell r="H94">
            <v>10.173999999999999</v>
          </cell>
          <cell r="I94">
            <v>10.173999999999999</v>
          </cell>
          <cell r="J94">
            <v>10.226000000000001</v>
          </cell>
          <cell r="K94">
            <v>99</v>
          </cell>
          <cell r="L94">
            <v>-2.5999999999999999E-2</v>
          </cell>
          <cell r="M94">
            <v>-2.5490000000000001E-3</v>
          </cell>
          <cell r="N94">
            <v>7.4260000000000002</v>
          </cell>
          <cell r="O94">
            <v>10.672000000000001</v>
          </cell>
          <cell r="P94">
            <v>20677</v>
          </cell>
          <cell r="Q94" t="e">
            <v>#VALUE!</v>
          </cell>
          <cell r="R94">
            <v>0.57769999999999999</v>
          </cell>
        </row>
        <row r="95">
          <cell r="A95" t="str">
            <v>JBASML</v>
          </cell>
          <cell r="E95">
            <v>45968.708333333336</v>
          </cell>
          <cell r="F95">
            <v>895.3</v>
          </cell>
          <cell r="G95">
            <v>899</v>
          </cell>
          <cell r="H95">
            <v>870.8</v>
          </cell>
          <cell r="I95">
            <v>870.8</v>
          </cell>
          <cell r="J95">
            <v>900.9</v>
          </cell>
          <cell r="K95">
            <v>33.435600000000001</v>
          </cell>
          <cell r="L95">
            <v>-24.5</v>
          </cell>
          <cell r="M95">
            <v>-2.7365E-2</v>
          </cell>
          <cell r="N95">
            <v>508.4</v>
          </cell>
          <cell r="O95">
            <v>938.6</v>
          </cell>
          <cell r="P95">
            <v>767828</v>
          </cell>
          <cell r="Q95">
            <v>539670</v>
          </cell>
          <cell r="R95">
            <v>2.1183000000000001</v>
          </cell>
        </row>
        <row r="96">
          <cell r="A96" t="str">
            <v>JBEOAN</v>
          </cell>
          <cell r="E96">
            <v>45968.857638888891</v>
          </cell>
          <cell r="F96">
            <v>16.079999999999998</v>
          </cell>
          <cell r="G96">
            <v>16.105</v>
          </cell>
          <cell r="H96">
            <v>16.105</v>
          </cell>
          <cell r="I96">
            <v>15.994999999999999</v>
          </cell>
          <cell r="J96">
            <v>16.155000000000001</v>
          </cell>
          <cell r="K96">
            <v>13.309900000000001</v>
          </cell>
          <cell r="L96">
            <v>2.5000000000000001E-2</v>
          </cell>
          <cell r="M96">
            <v>1.555E-3</v>
          </cell>
          <cell r="N96">
            <v>7.3</v>
          </cell>
          <cell r="O96">
            <v>16.515000000000001</v>
          </cell>
          <cell r="P96">
            <v>3946</v>
          </cell>
          <cell r="Q96">
            <v>2864900</v>
          </cell>
          <cell r="R96">
            <v>0.85299999999999998</v>
          </cell>
        </row>
        <row r="99">
          <cell r="B99">
            <v>1.1564000000000001</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8">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a>
  <a r="1" c="218">
    <v>690</v>
    <v>688</v>
    <v>747.8</v>
    <v>738.4</v>
    <v>724.3</v>
    <v>733.9</v>
    <v>725.3</v>
    <v>711.5</v>
    <v>712.7</v>
    <v>712.7</v>
    <v>745.4</v>
    <v>739.1</v>
    <v>748</v>
    <v>732.4</v>
    <v>748.1</v>
    <v>715.3</v>
    <v>700.7</v>
    <v>651.6</v>
    <v>646.6</v>
    <v>682.5</v>
    <v>706.7</v>
    <v>722.7</v>
    <v>709.9</v>
    <v>712.4</v>
    <v>706.1</v>
    <v>715.3</v>
    <v>703</v>
    <v>717</v>
    <v>723.6</v>
    <v>718.4</v>
    <v>737.9</v>
    <v>732.2</v>
    <v>727.8</v>
    <v>716.2</v>
    <v>717.5</v>
    <v>709.9</v>
    <v>710.1</v>
    <v>713.5</v>
    <v>697.8</v>
    <v>714.5</v>
    <v>699.1</v>
    <v>678.6</v>
    <v>690.3</v>
    <v>660.5</v>
    <v>672.7</v>
    <v>670</v>
    <v>666</v>
    <v>639</v>
    <v>632</v>
    <v>645.5</v>
    <v>642.4</v>
    <v>655.7</v>
    <v>661.3</v>
    <v>665.9</v>
    <v>673.1</v>
    <v>672.5</v>
    <v>660.7</v>
    <v>674.6</v>
    <v>674.7</v>
    <v>657.2</v>
    <v>642.5</v>
    <v>625.6</v>
    <v>606</v>
    <v>619.70000000000005</v>
    <v>616.29999999999995</v>
    <v>578.70000000000005</v>
    <v>564.1</v>
    <v>550</v>
    <v>573.79999999999995</v>
    <v>554.29999999999995</v>
    <v>577.6</v>
    <v>577.29999999999995</v>
    <v>590</v>
    <v>605.4</v>
    <v>574</v>
    <v>564.20000000000005</v>
    <v>561.1</v>
    <v>580.9</v>
    <v>591.70000000000005</v>
    <v>588.9</v>
    <v>584.5</v>
    <v>585</v>
    <v>582.5</v>
    <v>608.9</v>
    <v>606.79999999999995</v>
    <v>601.5</v>
    <v>604.70000000000005</v>
    <v>630.5</v>
    <v>626.79999999999995</v>
    <v>666.9</v>
    <v>683.7</v>
    <v>686.6</v>
    <v>682.2</v>
    <v>668.4</v>
    <v>662.4</v>
    <v>660</v>
    <v>664.7</v>
    <v>656.8</v>
    <v>642.6</v>
    <v>654</v>
    <v>666.1</v>
    <v>660.8</v>
    <v>665.5</v>
    <v>653.9</v>
    <v>646.20000000000005</v>
    <v>653.1</v>
    <v>652.4</v>
    <v>659</v>
    <v>667.6</v>
    <v>680.1</v>
    <v>684.5</v>
    <v>690.2</v>
    <v>676.6</v>
    <v>664.6</v>
    <v>670.1</v>
    <v>666</v>
    <v>665</v>
    <v>653.1</v>
    <v>650.4</v>
    <v>668.7</v>
    <v>691.4</v>
    <v>694.5</v>
    <v>677.4</v>
    <v>682.5</v>
    <v>677.6</v>
    <v>668.2</v>
    <v>677.6</v>
    <v>677.1</v>
    <v>659.4</v>
    <v>671.6</v>
    <v>678.9</v>
    <v>679.8</v>
    <v>690</v>
    <v>683.9</v>
    <v>687.3</v>
    <v>706.1</v>
    <v>625.79999999999995</v>
    <v>650.20000000000005</v>
    <v>633.5</v>
    <v>624.1</v>
    <v>602.4</v>
    <v>606.6</v>
    <v>615.9</v>
    <v>604.9</v>
    <v>628.29999999999995</v>
    <v>623</v>
    <v>627.5</v>
    <v>613.1</v>
    <v>595</v>
    <v>602.4</v>
    <v>597.1</v>
    <v>592.9</v>
    <v>610.70000000000005</v>
    <v>616.9</v>
    <v>627</v>
    <v>633.9</v>
    <v>640.6</v>
    <v>642.9</v>
    <v>636.70000000000005</v>
    <v>638.70000000000005</v>
    <v>642.29999999999995</v>
    <v>638.20000000000005</v>
    <v>634.5</v>
    <v>646.20000000000005</v>
    <v>646.70000000000005</v>
    <v>650.6</v>
    <v>660.2</v>
    <v>654.29999999999995</v>
    <v>636.6</v>
    <v>636.1</v>
    <v>617.20000000000005</v>
    <v>625.29999999999995</v>
    <v>647.6</v>
    <v>660.2</v>
    <v>676.6</v>
    <v>683.2</v>
    <v>680.2</v>
    <v>686</v>
    <v>689.8</v>
    <v>729.4</v>
    <v>732.9</v>
    <v>737</v>
    <v>794</v>
    <v>793.7</v>
    <v>810.8</v>
    <v>819.8</v>
    <v>808</v>
    <v>811.7</v>
    <v>812.8</v>
    <v>825.5</v>
    <v>828.1</v>
    <v>841.4</v>
    <v>877.6</v>
    <v>880.1</v>
    <v>897.3</v>
    <v>874.8</v>
    <v>851.8</v>
    <v>849.8</v>
    <v>813.9</v>
    <v>844</v>
    <v>846.6</v>
    <v>873</v>
    <v>877.4</v>
    <v>875.7</v>
    <v>899</v>
    <v>889.8</v>
    <v>870.1</v>
    <v>887.7</v>
    <v>894.4</v>
    <v>908.1</v>
    <v>907.4</v>
    <v>919.4</v>
    <v>937.5</v>
    <v>918.1</v>
    <v>926.5</v>
    <v>918</v>
    <v>906.6</v>
    <v>895.3</v>
  </a>
</arrayData>
</file>

<file path=xl/richData/rdrichvalue.xml><?xml version="1.0" encoding="utf-8"?>
<rvData xmlns="http://schemas.microsoft.com/office/spreadsheetml/2017/richdata" count="426">
  <rv s="0">
    <fb>45967</fb>
    <v>0</v>
  </rv>
  <rv s="0">
    <fb>895.3</fb>
    <v>1</v>
  </rv>
  <rv s="0">
    <fb>45659</fb>
    <v>0</v>
  </rv>
  <rv s="0">
    <fb>690</fb>
    <v>1</v>
  </rv>
  <rv s="0">
    <fb>45966</fb>
    <v>0</v>
  </rv>
  <rv s="0">
    <fb>906.6</fb>
    <v>1</v>
  </rv>
  <rv s="0">
    <fb>45660</fb>
    <v>0</v>
  </rv>
  <rv s="0">
    <fb>688</fb>
    <v>1</v>
  </rv>
  <rv s="0">
    <fb>45965</fb>
    <v>0</v>
  </rv>
  <rv s="0">
    <fb>918</fb>
    <v>1</v>
  </rv>
  <rv s="0">
    <fb>45663</fb>
    <v>0</v>
  </rv>
  <rv s="0">
    <fb>747.8</fb>
    <v>1</v>
  </rv>
  <rv s="0">
    <fb>45964</fb>
    <v>0</v>
  </rv>
  <rv s="0">
    <fb>926.5</fb>
    <v>1</v>
  </rv>
  <rv s="0">
    <fb>45664</fb>
    <v>0</v>
  </rv>
  <rv s="0">
    <fb>738.4</fb>
    <v>1</v>
  </rv>
  <rv s="0">
    <fb>45961</fb>
    <v>0</v>
  </rv>
  <rv s="0">
    <fb>918.1</fb>
    <v>1</v>
  </rv>
  <rv s="0">
    <fb>45665</fb>
    <v>0</v>
  </rv>
  <rv s="0">
    <fb>724.3</fb>
    <v>1</v>
  </rv>
  <rv s="0">
    <fb>45960</fb>
    <v>0</v>
  </rv>
  <rv s="0">
    <fb>937.5</fb>
    <v>1</v>
  </rv>
  <rv s="0">
    <fb>45666</fb>
    <v>0</v>
  </rv>
  <rv s="0">
    <fb>733.9</fb>
    <v>1</v>
  </rv>
  <rv s="0">
    <fb>45959</fb>
    <v>0</v>
  </rv>
  <rv s="0">
    <fb>919.4</fb>
    <v>1</v>
  </rv>
  <rv s="0">
    <fb>45667</fb>
    <v>0</v>
  </rv>
  <rv s="0">
    <fb>725.3</fb>
    <v>1</v>
  </rv>
  <rv s="0">
    <fb>45958</fb>
    <v>0</v>
  </rv>
  <rv s="0">
    <fb>907.4</fb>
    <v>1</v>
  </rv>
  <rv s="0">
    <fb>45670</fb>
    <v>0</v>
  </rv>
  <rv s="0">
    <fb>711.5</fb>
    <v>1</v>
  </rv>
  <rv s="0">
    <fb>45957</fb>
    <v>0</v>
  </rv>
  <rv s="0">
    <fb>908.1</fb>
    <v>1</v>
  </rv>
  <rv s="0">
    <fb>45671</fb>
    <v>0</v>
  </rv>
  <rv s="0">
    <fb>712.7</fb>
    <v>1</v>
  </rv>
  <rv s="0">
    <fb>45954</fb>
    <v>0</v>
  </rv>
  <rv s="0">
    <fb>894.4</fb>
    <v>1</v>
  </rv>
  <rv s="0">
    <fb>45672</fb>
    <v>0</v>
  </rv>
  <rv s="0">
    <fb>45953</fb>
    <v>0</v>
  </rv>
  <rv s="0">
    <fb>887.7</fb>
    <v>1</v>
  </rv>
  <rv s="0">
    <fb>45673</fb>
    <v>0</v>
  </rv>
  <rv s="0">
    <fb>745.4</fb>
    <v>1</v>
  </rv>
  <rv s="0">
    <fb>45952</fb>
    <v>0</v>
  </rv>
  <rv s="0">
    <fb>870.1</fb>
    <v>1</v>
  </rv>
  <rv s="0">
    <fb>45674</fb>
    <v>0</v>
  </rv>
  <rv s="0">
    <fb>739.1</fb>
    <v>1</v>
  </rv>
  <rv s="0">
    <fb>45951</fb>
    <v>0</v>
  </rv>
  <rv s="0">
    <fb>889.8</fb>
    <v>1</v>
  </rv>
  <rv s="0">
    <fb>45677</fb>
    <v>0</v>
  </rv>
  <rv s="0">
    <fb>748</fb>
    <v>1</v>
  </rv>
  <rv s="0">
    <fb>45950</fb>
    <v>0</v>
  </rv>
  <rv s="0">
    <fb>899</fb>
    <v>1</v>
  </rv>
  <rv s="0">
    <fb>45678</fb>
    <v>0</v>
  </rv>
  <rv s="0">
    <fb>732.4</fb>
    <v>1</v>
  </rv>
  <rv s="0">
    <fb>45947</fb>
    <v>0</v>
  </rv>
  <rv s="0">
    <fb>875.7</fb>
    <v>1</v>
  </rv>
  <rv s="0">
    <fb>45679</fb>
    <v>0</v>
  </rv>
  <rv s="0">
    <fb>748.1</fb>
    <v>1</v>
  </rv>
  <rv s="0">
    <fb>45946</fb>
    <v>0</v>
  </rv>
  <rv s="0">
    <fb>877.4</fb>
    <v>1</v>
  </rv>
  <rv s="0">
    <fb>45680</fb>
    <v>0</v>
  </rv>
  <rv s="0">
    <fb>715.3</fb>
    <v>1</v>
  </rv>
  <rv s="0">
    <fb>45945</fb>
    <v>0</v>
  </rv>
  <rv s="0">
    <fb>873</fb>
    <v>1</v>
  </rv>
  <rv s="0">
    <fb>45681</fb>
    <v>0</v>
  </rv>
  <rv s="0">
    <fb>700.7</fb>
    <v>1</v>
  </rv>
  <rv s="0">
    <fb>45944</fb>
    <v>0</v>
  </rv>
  <rv s="0">
    <fb>846.6</fb>
    <v>1</v>
  </rv>
  <rv s="0">
    <fb>45684</fb>
    <v>0</v>
  </rv>
  <rv s="0">
    <fb>651.6</fb>
    <v>1</v>
  </rv>
  <rv s="0">
    <fb>45943</fb>
    <v>0</v>
  </rv>
  <rv s="0">
    <fb>844</fb>
    <v>1</v>
  </rv>
  <rv s="0">
    <fb>45685</fb>
    <v>0</v>
  </rv>
  <rv s="0">
    <fb>646.6</fb>
    <v>1</v>
  </rv>
  <rv s="0">
    <fb>45940</fb>
    <v>0</v>
  </rv>
  <rv s="0">
    <fb>813.9</fb>
    <v>1</v>
  </rv>
  <rv s="0">
    <fb>45686</fb>
    <v>0</v>
  </rv>
  <rv s="0">
    <fb>682.5</fb>
    <v>1</v>
  </rv>
  <rv s="0">
    <fb>45939</fb>
    <v>0</v>
  </rv>
  <rv s="0">
    <fb>849.8</fb>
    <v>1</v>
  </rv>
  <rv s="0">
    <fb>45687</fb>
    <v>0</v>
  </rv>
  <rv s="0">
    <fb>706.7</fb>
    <v>1</v>
  </rv>
  <rv s="0">
    <fb>45938</fb>
    <v>0</v>
  </rv>
  <rv s="0">
    <fb>851.8</fb>
    <v>1</v>
  </rv>
  <rv s="0">
    <fb>45688</fb>
    <v>0</v>
  </rv>
  <rv s="0">
    <fb>722.7</fb>
    <v>1</v>
  </rv>
  <rv s="0">
    <fb>45937</fb>
    <v>0</v>
  </rv>
  <rv s="0">
    <fb>874.8</fb>
    <v>1</v>
  </rv>
  <rv s="0">
    <fb>45691</fb>
    <v>0</v>
  </rv>
  <rv s="0">
    <fb>709.9</fb>
    <v>1</v>
  </rv>
  <rv s="0">
    <fb>45936</fb>
    <v>0</v>
  </rv>
  <rv s="0">
    <fb>897.3</fb>
    <v>1</v>
  </rv>
  <rv s="0">
    <fb>45692</fb>
    <v>0</v>
  </rv>
  <rv s="0">
    <fb>712.4</fb>
    <v>1</v>
  </rv>
  <rv s="0">
    <fb>45933</fb>
    <v>0</v>
  </rv>
  <rv s="0">
    <fb>880.1</fb>
    <v>1</v>
  </rv>
  <rv s="0">
    <fb>45693</fb>
    <v>0</v>
  </rv>
  <rv s="0">
    <fb>706.1</fb>
    <v>1</v>
  </rv>
  <rv s="0">
    <fb>45932</fb>
    <v>0</v>
  </rv>
  <rv s="0">
    <fb>877.6</fb>
    <v>1</v>
  </rv>
  <rv s="0">
    <fb>45694</fb>
    <v>0</v>
  </rv>
  <rv s="0">
    <fb>45931</fb>
    <v>0</v>
  </rv>
  <rv s="0">
    <fb>841.4</fb>
    <v>1</v>
  </rv>
  <rv s="0">
    <fb>45695</fb>
    <v>0</v>
  </rv>
  <rv s="0">
    <fb>703</fb>
    <v>1</v>
  </rv>
  <rv s="0">
    <fb>45930</fb>
    <v>0</v>
  </rv>
  <rv s="0">
    <fb>828.1</fb>
    <v>1</v>
  </rv>
  <rv s="0">
    <fb>45698</fb>
    <v>0</v>
  </rv>
  <rv s="0">
    <fb>717</fb>
    <v>1</v>
  </rv>
  <rv s="0">
    <fb>45929</fb>
    <v>0</v>
  </rv>
  <rv s="0">
    <fb>825.5</fb>
    <v>1</v>
  </rv>
  <rv s="0">
    <fb>45699</fb>
    <v>0</v>
  </rv>
  <rv s="0">
    <fb>723.6</fb>
    <v>1</v>
  </rv>
  <rv s="0">
    <fb>45926</fb>
    <v>0</v>
  </rv>
  <rv s="0">
    <fb>812.8</fb>
    <v>1</v>
  </rv>
  <rv s="0">
    <fb>45700</fb>
    <v>0</v>
  </rv>
  <rv s="0">
    <fb>718.4</fb>
    <v>1</v>
  </rv>
  <rv s="0">
    <fb>45925</fb>
    <v>0</v>
  </rv>
  <rv s="0">
    <fb>811.7</fb>
    <v>1</v>
  </rv>
  <rv s="0">
    <fb>45701</fb>
    <v>0</v>
  </rv>
  <rv s="0">
    <fb>737.9</fb>
    <v>1</v>
  </rv>
  <rv s="0">
    <fb>45924</fb>
    <v>0</v>
  </rv>
  <rv s="0">
    <fb>808</fb>
    <v>1</v>
  </rv>
  <rv s="0">
    <fb>45702</fb>
    <v>0</v>
  </rv>
  <rv s="0">
    <fb>732.2</fb>
    <v>1</v>
  </rv>
  <rv s="0">
    <fb>45923</fb>
    <v>0</v>
  </rv>
  <rv s="0">
    <fb>819.8</fb>
    <v>1</v>
  </rv>
  <rv s="0">
    <fb>45705</fb>
    <v>0</v>
  </rv>
  <rv s="0">
    <fb>727.8</fb>
    <v>1</v>
  </rv>
  <rv s="0">
    <fb>45922</fb>
    <v>0</v>
  </rv>
  <rv s="0">
    <fb>810.8</fb>
    <v>1</v>
  </rv>
  <rv s="0">
    <fb>45706</fb>
    <v>0</v>
  </rv>
  <rv s="0">
    <fb>716.2</fb>
    <v>1</v>
  </rv>
  <rv s="0">
    <fb>45919</fb>
    <v>0</v>
  </rv>
  <rv s="0">
    <fb>793.7</fb>
    <v>1</v>
  </rv>
  <rv s="0">
    <fb>45707</fb>
    <v>0</v>
  </rv>
  <rv s="0">
    <fb>717.5</fb>
    <v>1</v>
  </rv>
  <rv s="0">
    <fb>45918</fb>
    <v>0</v>
  </rv>
  <rv s="0">
    <fb>794</fb>
    <v>1</v>
  </rv>
  <rv s="0">
    <fb>45708</fb>
    <v>0</v>
  </rv>
  <rv s="0">
    <fb>45917</fb>
    <v>0</v>
  </rv>
  <rv s="0">
    <fb>737</fb>
    <v>1</v>
  </rv>
  <rv s="0">
    <fb>45709</fb>
    <v>0</v>
  </rv>
  <rv s="0">
    <fb>710.1</fb>
    <v>1</v>
  </rv>
  <rv s="0">
    <fb>45916</fb>
    <v>0</v>
  </rv>
  <rv s="0">
    <fb>732.9</fb>
    <v>1</v>
  </rv>
  <rv s="0">
    <fb>45712</fb>
    <v>0</v>
  </rv>
  <rv s="0">
    <fb>713.5</fb>
    <v>1</v>
  </rv>
  <rv s="0">
    <fb>45915</fb>
    <v>0</v>
  </rv>
  <rv s="0">
    <fb>729.4</fb>
    <v>1</v>
  </rv>
  <rv s="0">
    <fb>45713</fb>
    <v>0</v>
  </rv>
  <rv s="0">
    <fb>697.8</fb>
    <v>1</v>
  </rv>
  <rv s="0">
    <fb>45912</fb>
    <v>0</v>
  </rv>
  <rv s="0">
    <fb>689.8</fb>
    <v>1</v>
  </rv>
  <rv s="0">
    <fb>45714</fb>
    <v>0</v>
  </rv>
  <rv s="0">
    <fb>714.5</fb>
    <v>1</v>
  </rv>
  <rv s="0">
    <fb>45911</fb>
    <v>0</v>
  </rv>
  <rv s="0">
    <fb>686</fb>
    <v>1</v>
  </rv>
  <rv s="0">
    <fb>45715</fb>
    <v>0</v>
  </rv>
  <rv s="0">
    <fb>699.1</fb>
    <v>1</v>
  </rv>
  <rv s="0">
    <fb>45910</fb>
    <v>0</v>
  </rv>
  <rv s="0">
    <fb>680.2</fb>
    <v>1</v>
  </rv>
  <rv s="0">
    <fb>45716</fb>
    <v>0</v>
  </rv>
  <rv s="0">
    <fb>678.6</fb>
    <v>1</v>
  </rv>
  <rv s="0">
    <fb>45909</fb>
    <v>0</v>
  </rv>
  <rv s="0">
    <fb>683.2</fb>
    <v>1</v>
  </rv>
  <rv s="0">
    <fb>45719</fb>
    <v>0</v>
  </rv>
  <rv s="0">
    <fb>690.3</fb>
    <v>1</v>
  </rv>
  <rv s="0">
    <fb>45908</fb>
    <v>0</v>
  </rv>
  <rv s="0">
    <fb>676.6</fb>
    <v>1</v>
  </rv>
  <rv s="0">
    <fb>45720</fb>
    <v>0</v>
  </rv>
  <rv s="0">
    <fb>660.5</fb>
    <v>1</v>
  </rv>
  <rv s="0">
    <fb>45905</fb>
    <v>0</v>
  </rv>
  <rv s="0">
    <fb>660.2</fb>
    <v>1</v>
  </rv>
  <rv s="0">
    <fb>45721</fb>
    <v>0</v>
  </rv>
  <rv s="0">
    <fb>672.7</fb>
    <v>1</v>
  </rv>
  <rv s="0">
    <fb>45904</fb>
    <v>0</v>
  </rv>
  <rv s="0">
    <fb>647.6</fb>
    <v>1</v>
  </rv>
  <rv s="0">
    <fb>45722</fb>
    <v>0</v>
  </rv>
  <rv s="0">
    <fb>670</fb>
    <v>1</v>
  </rv>
  <rv s="0">
    <fb>45903</fb>
    <v>0</v>
  </rv>
  <rv s="0">
    <fb>625.29999999999995</fb>
    <v>1</v>
  </rv>
  <rv s="0">
    <fb>45723</fb>
    <v>0</v>
  </rv>
  <rv s="0">
    <fb>666</fb>
    <v>1</v>
  </rv>
  <rv s="0">
    <fb>45902</fb>
    <v>0</v>
  </rv>
  <rv s="0">
    <fb>617.20000000000005</fb>
    <v>1</v>
  </rv>
  <rv s="0">
    <fb>45726</fb>
    <v>0</v>
  </rv>
  <rv s="0">
    <fb>639</fb>
    <v>1</v>
  </rv>
  <rv s="0">
    <fb>45901</fb>
    <v>0</v>
  </rv>
  <rv s="0">
    <fb>636.1</fb>
    <v>1</v>
  </rv>
  <rv s="0">
    <fb>45727</fb>
    <v>0</v>
  </rv>
  <rv s="0">
    <fb>632</fb>
    <v>1</v>
  </rv>
  <rv s="0">
    <fb>45898</fb>
    <v>0</v>
  </rv>
  <rv s="0">
    <fb>636.6</fb>
    <v>1</v>
  </rv>
  <rv s="0">
    <fb>45728</fb>
    <v>0</v>
  </rv>
  <rv s="0">
    <fb>645.5</fb>
    <v>1</v>
  </rv>
  <rv s="0">
    <fb>45897</fb>
    <v>0</v>
  </rv>
  <rv s="0">
    <fb>654.29999999999995</fb>
    <v>1</v>
  </rv>
  <rv s="0">
    <fb>45729</fb>
    <v>0</v>
  </rv>
  <rv s="0">
    <fb>642.4</fb>
    <v>1</v>
  </rv>
  <rv s="0">
    <fb>45896</fb>
    <v>0</v>
  </rv>
  <rv s="0">
    <fb>45730</fb>
    <v>0</v>
  </rv>
  <rv s="0">
    <fb>655.7</fb>
    <v>1</v>
  </rv>
  <rv s="0">
    <fb>45895</fb>
    <v>0</v>
  </rv>
  <rv s="0">
    <fb>650.6</fb>
    <v>1</v>
  </rv>
  <rv s="0">
    <fb>45733</fb>
    <v>0</v>
  </rv>
  <rv s="0">
    <fb>661.3</fb>
    <v>1</v>
  </rv>
  <rv s="0">
    <fb>45894</fb>
    <v>0</v>
  </rv>
  <rv s="0">
    <fb>646.70000000000005</fb>
    <v>1</v>
  </rv>
  <rv s="0">
    <fb>45734</fb>
    <v>0</v>
  </rv>
  <rv s="0">
    <fb>665.9</fb>
    <v>1</v>
  </rv>
  <rv s="0">
    <fb>45891</fb>
    <v>0</v>
  </rv>
  <rv s="0">
    <fb>646.20000000000005</fb>
    <v>1</v>
  </rv>
  <rv s="0">
    <fb>45735</fb>
    <v>0</v>
  </rv>
  <rv s="0">
    <fb>673.1</fb>
    <v>1</v>
  </rv>
  <rv s="0">
    <fb>45890</fb>
    <v>0</v>
  </rv>
  <rv s="0">
    <fb>634.5</fb>
    <v>1</v>
  </rv>
  <rv s="0">
    <fb>45736</fb>
    <v>0</v>
  </rv>
  <rv s="0">
    <fb>672.5</fb>
    <v>1</v>
  </rv>
  <rv s="0">
    <fb>45889</fb>
    <v>0</v>
  </rv>
  <rv s="0">
    <fb>638.20000000000005</fb>
    <v>1</v>
  </rv>
  <rv s="0">
    <fb>45737</fb>
    <v>0</v>
  </rv>
  <rv s="0">
    <fb>660.7</fb>
    <v>1</v>
  </rv>
  <rv s="0">
    <fb>45888</fb>
    <v>0</v>
  </rv>
  <rv s="0">
    <fb>642.29999999999995</fb>
    <v>1</v>
  </rv>
  <rv s="0">
    <fb>45740</fb>
    <v>0</v>
  </rv>
  <rv s="0">
    <fb>674.6</fb>
    <v>1</v>
  </rv>
  <rv s="0">
    <fb>45887</fb>
    <v>0</v>
  </rv>
  <rv s="0">
    <fb>638.70000000000005</fb>
    <v>1</v>
  </rv>
  <rv s="0">
    <fb>45741</fb>
    <v>0</v>
  </rv>
  <rv s="0">
    <fb>674.7</fb>
    <v>1</v>
  </rv>
  <rv s="0">
    <fb>45884</fb>
    <v>0</v>
  </rv>
  <rv s="0">
    <fb>636.70000000000005</fb>
    <v>1</v>
  </rv>
  <rv s="0">
    <fb>45742</fb>
    <v>0</v>
  </rv>
  <rv s="0">
    <fb>657.2</fb>
    <v>1</v>
  </rv>
  <rv s="0">
    <fb>45883</fb>
    <v>0</v>
  </rv>
  <rv s="0">
    <fb>642.9</fb>
    <v>1</v>
  </rv>
  <rv s="0">
    <fb>45743</fb>
    <v>0</v>
  </rv>
  <rv s="0">
    <fb>642.5</fb>
    <v>1</v>
  </rv>
  <rv s="0">
    <fb>45882</fb>
    <v>0</v>
  </rv>
  <rv s="0">
    <fb>640.6</fb>
    <v>1</v>
  </rv>
  <rv s="0">
    <fb>45744</fb>
    <v>0</v>
  </rv>
  <rv s="0">
    <fb>625.6</fb>
    <v>1</v>
  </rv>
  <rv s="0">
    <fb>45881</fb>
    <v>0</v>
  </rv>
  <rv s="0">
    <fb>633.9</fb>
    <v>1</v>
  </rv>
  <rv s="0">
    <fb>45747</fb>
    <v>0</v>
  </rv>
  <rv s="0">
    <fb>606</fb>
    <v>1</v>
  </rv>
  <rv s="0">
    <fb>45880</fb>
    <v>0</v>
  </rv>
  <rv s="0">
    <fb>627</fb>
    <v>1</v>
  </rv>
  <rv s="0">
    <fb>45748</fb>
    <v>0</v>
  </rv>
  <rv s="0">
    <fb>619.70000000000005</fb>
    <v>1</v>
  </rv>
  <rv s="0">
    <fb>45877</fb>
    <v>0</v>
  </rv>
  <rv s="0">
    <fb>616.9</fb>
    <v>1</v>
  </rv>
  <rv s="0">
    <fb>45749</fb>
    <v>0</v>
  </rv>
  <rv s="0">
    <fb>616.29999999999995</fb>
    <v>1</v>
  </rv>
  <rv s="0">
    <fb>45876</fb>
    <v>0</v>
  </rv>
  <rv s="0">
    <fb>610.70000000000005</fb>
    <v>1</v>
  </rv>
  <rv s="0">
    <fb>45750</fb>
    <v>0</v>
  </rv>
  <rv s="0">
    <fb>578.70000000000005</fb>
    <v>1</v>
  </rv>
  <rv s="0">
    <fb>45875</fb>
    <v>0</v>
  </rv>
  <rv s="0">
    <fb>592.9</fb>
    <v>1</v>
  </rv>
  <rv s="0">
    <fb>45751</fb>
    <v>0</v>
  </rv>
  <rv s="0">
    <fb>564.1</fb>
    <v>1</v>
  </rv>
  <rv s="0">
    <fb>45874</fb>
    <v>0</v>
  </rv>
  <rv s="0">
    <fb>597.1</fb>
    <v>1</v>
  </rv>
  <rv s="0">
    <fb>45754</fb>
    <v>0</v>
  </rv>
  <rv s="0">
    <fb>550</fb>
    <v>1</v>
  </rv>
  <rv s="0">
    <fb>45873</fb>
    <v>0</v>
  </rv>
  <rv s="0">
    <fb>602.4</fb>
    <v>1</v>
  </rv>
  <rv s="0">
    <fb>45755</fb>
    <v>0</v>
  </rv>
  <rv s="0">
    <fb>573.79999999999995</fb>
    <v>1</v>
  </rv>
  <rv s="0">
    <fb>45870</fb>
    <v>0</v>
  </rv>
  <rv s="0">
    <fb>595</fb>
    <v>1</v>
  </rv>
  <rv s="0">
    <fb>45756</fb>
    <v>0</v>
  </rv>
  <rv s="0">
    <fb>554.29999999999995</fb>
    <v>1</v>
  </rv>
  <rv s="0">
    <fb>45869</fb>
    <v>0</v>
  </rv>
  <rv s="0">
    <fb>613.1</fb>
    <v>1</v>
  </rv>
  <rv s="0">
    <fb>45757</fb>
    <v>0</v>
  </rv>
  <rv s="0">
    <fb>577.6</fb>
    <v>1</v>
  </rv>
  <rv s="0">
    <fb>45868</fb>
    <v>0</v>
  </rv>
  <rv s="0">
    <fb>627.5</fb>
    <v>1</v>
  </rv>
  <rv s="0">
    <fb>45758</fb>
    <v>0</v>
  </rv>
  <rv s="0">
    <fb>577.29999999999995</fb>
    <v>1</v>
  </rv>
  <rv s="0">
    <fb>45867</fb>
    <v>0</v>
  </rv>
  <rv s="0">
    <fb>623</fb>
    <v>1</v>
  </rv>
  <rv s="0">
    <fb>45761</fb>
    <v>0</v>
  </rv>
  <rv s="0">
    <fb>590</fb>
    <v>1</v>
  </rv>
  <rv s="0">
    <fb>45866</fb>
    <v>0</v>
  </rv>
  <rv s="0">
    <fb>628.29999999999995</fb>
    <v>1</v>
  </rv>
  <rv s="0">
    <fb>45762</fb>
    <v>0</v>
  </rv>
  <rv s="0">
    <fb>605.4</fb>
    <v>1</v>
  </rv>
  <rv s="0">
    <fb>45863</fb>
    <v>0</v>
  </rv>
  <rv s="0">
    <fb>604.9</fb>
    <v>1</v>
  </rv>
  <rv s="0">
    <fb>45763</fb>
    <v>0</v>
  </rv>
  <rv s="0">
    <fb>574</fb>
    <v>1</v>
  </rv>
  <rv s="0">
    <fb>45862</fb>
    <v>0</v>
  </rv>
  <rv s="0">
    <fb>615.9</fb>
    <v>1</v>
  </rv>
  <rv s="0">
    <fb>45764</fb>
    <v>0</v>
  </rv>
  <rv s="0">
    <fb>564.20000000000005</fb>
    <v>1</v>
  </rv>
  <rv s="0">
    <fb>45861</fb>
    <v>0</v>
  </rv>
  <rv s="0">
    <fb>606.6</fb>
    <v>1</v>
  </rv>
  <rv s="0">
    <fb>45769</fb>
    <v>0</v>
  </rv>
  <rv s="0">
    <fb>561.1</fb>
    <v>1</v>
  </rv>
  <rv s="0">
    <fb>45860</fb>
    <v>0</v>
  </rv>
  <rv s="0">
    <fb>45770</fb>
    <v>0</v>
  </rv>
  <rv s="0">
    <fb>580.9</fb>
    <v>1</v>
  </rv>
  <rv s="0">
    <fb>45859</fb>
    <v>0</v>
  </rv>
  <rv s="0">
    <fb>624.1</fb>
    <v>1</v>
  </rv>
  <rv s="0">
    <fb>45771</fb>
    <v>0</v>
  </rv>
  <rv s="0">
    <fb>591.70000000000005</fb>
    <v>1</v>
  </rv>
  <rv s="0">
    <fb>45856</fb>
    <v>0</v>
  </rv>
  <rv s="0">
    <fb>633.5</fb>
    <v>1</v>
  </rv>
  <rv s="0">
    <fb>45772</fb>
    <v>0</v>
  </rv>
  <rv s="0">
    <fb>588.9</fb>
    <v>1</v>
  </rv>
  <rv s="0">
    <fb>45855</fb>
    <v>0</v>
  </rv>
  <rv s="0">
    <fb>650.20000000000005</fb>
    <v>1</v>
  </rv>
  <rv s="0">
    <fb>45775</fb>
    <v>0</v>
  </rv>
  <rv s="0">
    <fb>584.5</fb>
    <v>1</v>
  </rv>
  <rv s="0">
    <fb>45854</fb>
    <v>0</v>
  </rv>
  <rv s="0">
    <fb>625.79999999999995</fb>
    <v>1</v>
  </rv>
  <rv s="0">
    <fb>45776</fb>
    <v>0</v>
  </rv>
  <rv s="0">
    <fb>585</fb>
    <v>1</v>
  </rv>
  <rv s="0">
    <fb>45853</fb>
    <v>0</v>
  </rv>
  <rv s="0">
    <fb>45777</fb>
    <v>0</v>
  </rv>
  <rv s="0">
    <fb>582.5</fb>
    <v>1</v>
  </rv>
  <rv s="0">
    <fb>45852</fb>
    <v>0</v>
  </rv>
  <rv s="0">
    <fb>687.3</fb>
    <v>1</v>
  </rv>
  <rv s="0">
    <fb>45779</fb>
    <v>0</v>
  </rv>
  <rv s="0">
    <fb>608.9</fb>
    <v>1</v>
  </rv>
  <rv s="0">
    <fb>45849</fb>
    <v>0</v>
  </rv>
  <rv s="0">
    <fb>683.9</fb>
    <v>1</v>
  </rv>
  <rv s="0">
    <fb>45782</fb>
    <v>0</v>
  </rv>
  <rv s="0">
    <fb>606.79999999999995</fb>
    <v>1</v>
  </rv>
  <rv s="0">
    <fb>45848</fb>
    <v>0</v>
  </rv>
  <rv s="0">
    <fb>45783</fb>
    <v>0</v>
  </rv>
  <rv s="0">
    <fb>601.5</fb>
    <v>1</v>
  </rv>
  <rv s="0">
    <fb>45847</fb>
    <v>0</v>
  </rv>
  <rv s="0">
    <fb>679.8</fb>
    <v>1</v>
  </rv>
  <rv s="0">
    <fb>45784</fb>
    <v>0</v>
  </rv>
  <rv s="0">
    <fb>604.70000000000005</fb>
    <v>1</v>
  </rv>
  <rv s="0">
    <fb>45846</fb>
    <v>0</v>
  </rv>
  <rv s="0">
    <fb>678.9</fb>
    <v>1</v>
  </rv>
  <rv s="0">
    <fb>45785</fb>
    <v>0</v>
  </rv>
  <rv s="0">
    <fb>630.5</fb>
    <v>1</v>
  </rv>
  <rv s="0">
    <fb>45845</fb>
    <v>0</v>
  </rv>
  <rv s="0">
    <fb>671.6</fb>
    <v>1</v>
  </rv>
  <rv s="0">
    <fb>45786</fb>
    <v>0</v>
  </rv>
  <rv s="0">
    <fb>626.79999999999995</fb>
    <v>1</v>
  </rv>
  <rv s="0">
    <fb>45842</fb>
    <v>0</v>
  </rv>
  <rv s="0">
    <fb>659.4</fb>
    <v>1</v>
  </rv>
  <rv s="0">
    <fb>45789</fb>
    <v>0</v>
  </rv>
  <rv s="0">
    <fb>666.9</fb>
    <v>1</v>
  </rv>
  <rv s="0">
    <fb>45841</fb>
    <v>0</v>
  </rv>
  <rv s="0">
    <fb>677.1</fb>
    <v>1</v>
  </rv>
  <rv s="0">
    <fb>45790</fb>
    <v>0</v>
  </rv>
  <rv s="0">
    <fb>683.7</fb>
    <v>1</v>
  </rv>
  <rv s="0">
    <fb>45840</fb>
    <v>0</v>
  </rv>
  <rv s="0">
    <fb>677.6</fb>
    <v>1</v>
  </rv>
  <rv s="0">
    <fb>45791</fb>
    <v>0</v>
  </rv>
  <rv s="0">
    <fb>686.6</fb>
    <v>1</v>
  </rv>
  <rv s="0">
    <fb>45839</fb>
    <v>0</v>
  </rv>
  <rv s="0">
    <fb>668.2</fb>
    <v>1</v>
  </rv>
  <rv s="0">
    <fb>45792</fb>
    <v>0</v>
  </rv>
  <rv s="0">
    <fb>682.2</fb>
    <v>1</v>
  </rv>
  <rv s="0">
    <fb>45838</fb>
    <v>0</v>
  </rv>
  <rv s="0">
    <fb>45793</fb>
    <v>0</v>
  </rv>
  <rv s="0">
    <fb>668.4</fb>
    <v>1</v>
  </rv>
  <rv s="0">
    <fb>45835</fb>
    <v>0</v>
  </rv>
  <rv s="0">
    <fb>45796</fb>
    <v>0</v>
  </rv>
  <rv s="0">
    <fb>662.4</fb>
    <v>1</v>
  </rv>
  <rv s="0">
    <fb>45834</fb>
    <v>0</v>
  </rv>
  <rv s="0">
    <fb>677.4</fb>
    <v>1</v>
  </rv>
  <rv s="0">
    <fb>45797</fb>
    <v>0</v>
  </rv>
  <rv s="0">
    <fb>660</fb>
    <v>1</v>
  </rv>
  <rv s="0">
    <fb>45833</fb>
    <v>0</v>
  </rv>
  <rv s="0">
    <fb>694.5</fb>
    <v>1</v>
  </rv>
  <rv s="0">
    <fb>45798</fb>
    <v>0</v>
  </rv>
  <rv s="0">
    <fb>664.7</fb>
    <v>1</v>
  </rv>
  <rv s="0">
    <fb>45832</fb>
    <v>0</v>
  </rv>
  <rv s="0">
    <fb>691.4</fb>
    <v>1</v>
  </rv>
  <rv s="0">
    <fb>45799</fb>
    <v>0</v>
  </rv>
  <rv s="0">
    <fb>656.8</fb>
    <v>1</v>
  </rv>
  <rv s="0">
    <fb>45831</fb>
    <v>0</v>
  </rv>
  <rv s="0">
    <fb>668.7</fb>
    <v>1</v>
  </rv>
  <rv s="0">
    <fb>45800</fb>
    <v>0</v>
  </rv>
  <rv s="0">
    <fb>642.6</fb>
    <v>1</v>
  </rv>
  <rv s="0">
    <fb>45828</fb>
    <v>0</v>
  </rv>
  <rv s="0">
    <fb>650.4</fb>
    <v>1</v>
  </rv>
  <rv s="0">
    <fb>45803</fb>
    <v>0</v>
  </rv>
  <rv s="0">
    <fb>654</fb>
    <v>1</v>
  </rv>
  <rv s="0">
    <fb>45827</fb>
    <v>0</v>
  </rv>
  <rv s="0">
    <fb>653.1</fb>
    <v>1</v>
  </rv>
  <rv s="0">
    <fb>45804</fb>
    <v>0</v>
  </rv>
  <rv s="0">
    <fb>666.1</fb>
    <v>1</v>
  </rv>
  <rv s="0">
    <fb>45826</fb>
    <v>0</v>
  </rv>
  <rv s="0">
    <fb>665</fb>
    <v>1</v>
  </rv>
  <rv s="0">
    <fb>45805</fb>
    <v>0</v>
  </rv>
  <rv s="0">
    <fb>660.8</fb>
    <v>1</v>
  </rv>
  <rv s="0">
    <fb>45825</fb>
    <v>0</v>
  </rv>
  <rv s="0">
    <fb>45806</fb>
    <v>0</v>
  </rv>
  <rv s="0">
    <fb>665.5</fb>
    <v>1</v>
  </rv>
  <rv s="0">
    <fb>45824</fb>
    <v>0</v>
  </rv>
  <rv s="0">
    <fb>670.1</fb>
    <v>1</v>
  </rv>
  <rv s="0">
    <fb>45807</fb>
    <v>0</v>
  </rv>
  <rv s="0">
    <fb>653.9</fb>
    <v>1</v>
  </rv>
  <rv s="0">
    <fb>45821</fb>
    <v>0</v>
  </rv>
  <rv s="0">
    <fb>664.6</fb>
    <v>1</v>
  </rv>
  <rv s="0">
    <fb>45810</fb>
    <v>0</v>
  </rv>
  <rv s="0">
    <fb>45820</fb>
    <v>0</v>
  </rv>
  <rv s="0">
    <fb>45811</fb>
    <v>0</v>
  </rv>
  <rv s="0">
    <fb>45819</fb>
    <v>0</v>
  </rv>
  <rv s="0">
    <fb>690.2</fb>
    <v>1</v>
  </rv>
  <rv s="0">
    <fb>45812</fb>
    <v>0</v>
  </rv>
  <rv s="0">
    <fb>652.4</fb>
    <v>1</v>
  </rv>
  <rv s="0">
    <fb>45818</fb>
    <v>0</v>
  </rv>
  <rv s="0">
    <fb>684.5</fb>
    <v>1</v>
  </rv>
  <rv s="0">
    <fb>45813</fb>
    <v>0</v>
  </rv>
  <rv s="0">
    <fb>659</fb>
    <v>1</v>
  </rv>
  <rv s="0">
    <fb>45817</fb>
    <v>0</v>
  </rv>
  <rv s="0">
    <fb>680.1</fb>
    <v>1</v>
  </rv>
  <rv s="0">
    <fb>45814</fb>
    <v>0</v>
  </rv>
  <rv s="0">
    <fb>667.6</fb>
    <v>1</v>
  </rv>
  <rv s="1">
    <v>12</v>
    <v>0</v>
  </rv>
  <rv s="2">
    <v>12</v>
    <v>1</v>
  </rv>
  <rv s="3">
    <v>2</v>
    <v>ASML</v>
    <v>Daily</v>
    <v>45658</v>
    <v>45968</v>
    <v>0</v>
    <v>1</v>
    <v>638979840000000000,638981477869996792,0</v>
    <v>0</v>
    <v>alnz5r</v>
    <v>XAMS:ASML</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34">
  <autoFilter ref="D5:V11" xr:uid="{C24FC06A-D240-FA40-895B-93FDAC41EABC}"/>
  <tableColumns count="19">
    <tableColumn id="1" xr3:uid="{DBF59C94-E574-144C-9253-6744AB5FFB29}" name="N Stock" dataDxfId="2933"/>
    <tableColumn id="2" xr3:uid="{C509194D-3462-2C43-9FF0-CFB07104C891}" name="A" dataDxfId="2932">
      <calculatedColumnFormula>IF(FIND("A",Table38[[#This Row],[S=M]],1)&lt;FIND("S",Table38[[#This Row],[S=M]],1),DeltaPercent*Table38[[#This Row],[S]],DMinusPercent*Table38[[#This Row],[S]])</calculatedColumnFormula>
    </tableColumn>
    <tableColumn id="3" xr3:uid="{34CA17A9-0A32-0640-9172-03703FD3815B}" name="B" dataDxfId="2931">
      <calculatedColumnFormula>IF(FIND("B",Table38[[#This Row],[S=M]],1)&lt;FIND("S",Table38[[#This Row],[S=M]],1),BdeltaPlus*Table38[[#This Row],[S]],BdeltaMinus*Table38[[#This Row],[S]])</calculatedColumnFormula>
    </tableColumn>
    <tableColumn id="4" xr3:uid="{27FC4983-1F63-0A4F-BE55-9FD69930E239}" name="S" dataDxfId="2930">
      <calculatedColumnFormula array="1">$G$1*IFERROR(_xlfn.IFS(LEFT(Table38[[#This Row],[S=M]],1)="S",G$4,RIGHT(Table38[[#This Row],[S=M]],1)="S",G$3),G$2)</calculatedColumnFormula>
    </tableColumn>
    <tableColumn id="6" xr3:uid="{F52CA5A5-F794-FC4F-91DB-A94C1D307D65}" name="S=M" dataDxfId="2929"/>
    <tableColumn id="7" xr3:uid="{9E5A4797-757A-3848-8AB4-DDF9CDAD983C}" name="If_SALE_Reverse" dataDxfId="2928"/>
    <tableColumn id="8" xr3:uid="{520675E8-BAE7-FC44-997F-BF87E05EFEED}" name="vsA" dataDxfId="2927" dataCellStyle="Percent">
      <calculatedColumnFormula>((Table38[[#This Row],[N Stock]])*Table38[[#This Row],[A]]-Table38[[#This Row],[S]])/((Table38[[#This Row],[N Stock]]-1)*Table38[[#This Row],[A]])</calculatedColumnFormula>
    </tableColumn>
    <tableColumn id="9" xr3:uid="{5A9F2181-C1D0-6C44-95B1-D93BB1C2E24C}" name="vsReverseCash" dataDxfId="2926" dataCellStyle="Percent">
      <calculatedColumnFormula>(Table38[[#This Row],[S]]-Table38[[#This Row],[B]])/Table38[[#This Row],[S]]</calculatedColumnFormula>
    </tableColumn>
    <tableColumn id="31" xr3:uid="{02E50B27-19BB-134D-860A-47966099B80A}" name="vsA2" dataDxfId="2925" dataCellStyle="Percent">
      <calculatedColumnFormula>(Table38[[#This Row],[S]]-Table38[[#This Row],[B]])/Table38[[#This Row],[A]]</calculatedColumnFormula>
    </tableColumn>
    <tableColumn id="32" xr3:uid="{9BA6E48B-A89C-204C-8F57-C22C80357979}" name="vsA3" dataDxfId="2924" dataCellStyle="Comma">
      <calculatedColumnFormula>(IF(Table38[[#This Row],[S]]&gt;N$4,Table38[[#This Row],[S]],N$4))</calculatedColumnFormula>
    </tableColumn>
    <tableColumn id="18" xr3:uid="{117B15A1-A542-FF4D-B25A-2E57F149E3FA}" name="BS_Max" dataDxfId="2923" dataCellStyle="Percent">
      <calculatedColumnFormula>Table38[[#This Row],[vsA3]]/N$4-1</calculatedColumnFormula>
    </tableColumn>
    <tableColumn id="33" xr3:uid="{B4B3DC01-746B-C849-B2D8-AE7797ED9BD2}" name="Column1" dataDxfId="2922">
      <calculatedColumnFormula>(IF(Table38[[#This Row],[S]]&gt;P$4,Table38[[#This Row],[S]],P$4))</calculatedColumnFormula>
    </tableColumn>
    <tableColumn id="19" xr3:uid="{ABA2E3C0-0AA2-5F49-83E3-D6BB656803D9}" name="BS__medH" dataDxfId="2921" dataCellStyle="Percent">
      <calculatedColumnFormula>Table38[[#This Row],[Column1]]/P$4-1</calculatedColumnFormula>
    </tableColumn>
    <tableColumn id="20" xr3:uid="{6DA2DD76-DE2E-4746-A5AF-A62517B50E81}" name="BS_MedL" dataDxfId="2920">
      <calculatedColumnFormula>(IF(Table38[[#This Row],[S]]&gt;R$4,Table38[[#This Row],[S]],R$4))</calculatedColumnFormula>
    </tableColumn>
    <tableColumn id="21" xr3:uid="{C15602C5-7102-674B-BE42-A2CAFC2E9D2D}" name="BS_Min" dataDxfId="2919">
      <calculatedColumnFormula>Table38[[#This Row],[BS_MedL]]/R$4-1</calculatedColumnFormula>
    </tableColumn>
    <tableColumn id="10" xr3:uid="{014DCAAF-B001-E440-9D4A-60AADD8661A7}" name="WS_Max" dataDxfId="2918">
      <calculatedColumnFormula>(IF(Table38[[#This Row],[S]]&gt;T$4,Table38[[#This Row],[S]],T$4))</calculatedColumnFormula>
    </tableColumn>
    <tableColumn id="11" xr3:uid="{522B67F5-A15E-D247-B800-4110CB228283}" name="WS_medH" dataDxfId="2917">
      <calculatedColumnFormula>Table38[[#This Row],[WS_Max]]/T$4-1</calculatedColumnFormula>
    </tableColumn>
    <tableColumn id="13" xr3:uid="{AF9519DF-3AF8-A440-B068-2104677DB4B8}" name="WS_MedL" dataDxfId="2916">
      <calculatedColumnFormula>(IF(Table38[[#This Row],[S]]&lt;R$4,Table38[[#This Row],[S]]-R$4,0))/W$4</calculatedColumnFormula>
    </tableColumn>
    <tableColumn id="17" xr3:uid="{444943D3-4074-8940-AC58-77F8D7C37EF6}" name="WS_Min" dataDxfId="291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14"/>
    <tableColumn id="2" xr3:uid="{14B0424C-9DBC-B449-B1C8-D632B45CA174}" name="A" dataDxfId="2913">
      <calculatedColumnFormula array="1">IFERROR(_xlfn.IFS(LEFT(J15,1)="A",15,RIGHT(J15,1)="A",5),10)</calculatedColumnFormula>
    </tableColumn>
    <tableColumn id="3" xr3:uid="{03CB87CD-0036-2945-A6EC-547AC06E2951}" name="B" dataDxfId="2912">
      <calculatedColumnFormula array="1">IFERROR(_xlfn.IFS(LEFT(J15,1)="P",15,RIGHT(J15,1)="P",5),10)</calculatedColumnFormula>
    </tableColumn>
    <tableColumn id="4" xr3:uid="{49C001A8-9686-9444-AE1C-75454EAB98C6}" name="S" dataDxfId="291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09">
      <calculatedColumnFormula>_xlfn.RANK.EQ(DataShift!Y704,DataShift!F704:Y704)</calculatedColumnFormula>
    </tableColumn>
    <tableColumn id="4" xr3:uid="{CB17A5EB-79C7-5E4A-B8C6-D98950D9C69A}" name="Gravity" dataDxfId="2908">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07">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75" totalsRowCount="1" headerRowDxfId="2906">
  <autoFilter ref="C20:I74" xr:uid="{715A51DA-B514-1F4B-804D-2485E44509F0}"/>
  <tableColumns count="7">
    <tableColumn id="1" xr3:uid="{0D21877A-CADF-2B42-8E32-423F99C45C4C}" name="Number" totalsRowFunction="sum" dataDxfId="2905" totalsRowDxfId="391" dataCellStyle="Comma"/>
    <tableColumn id="2" xr3:uid="{C42DA1E3-B635-234F-A4E3-577435ABF9B8}" name="Price" dataDxfId="2904" totalsRowDxfId="390" dataCellStyle="Comma"/>
    <tableColumn id="3" xr3:uid="{DB787670-1ECA-E445-A685-C3B2B2251296}" name="Remaining" totalsRowFunction="sum" dataDxfId="2903" totalsRowDxfId="389" dataCellStyle="Comma"/>
    <tableColumn id="4" xr3:uid="{1DCD6947-F05F-4C4B-8C2D-DB6F309A0EEF}" name="Profit/Loss" totalsRowFunction="sum" dataDxfId="2902" totalsRowDxfId="388" dataCellStyle="Comma"/>
    <tableColumn id="5" xr3:uid="{508DC28D-EBE5-3345-AC2B-21EC83602B2F}" name="Income" totalsRowFunction="sum" dataDxfId="2901" totalsRowDxfId="387" dataCellStyle="Comma">
      <calculatedColumnFormula>IF(TabFIFO[[#This Row],[Price]]&gt;0,TabFIFO[[#This Row],[Number]]*TabFIFO[[#This Row],[Price]],0)*(1-Commission)</calculatedColumnFormula>
    </tableColumn>
    <tableColumn id="6" xr3:uid="{3628D5DD-DC22-E641-9462-F33F525D50BF}" name="Cost" totalsRowFunction="sum" dataDxfId="2900" totalsRowDxfId="386" dataCellStyle="Comma">
      <calculatedColumnFormula>IF(TabFIFO[[#This Row],[Price]]&lt;0,TabFIFO[[#This Row],[Number]]*TabFIFO[[#This Row],[Price]],0)*(1+Commission)</calculatedColumnFormula>
    </tableColumn>
    <tableColumn id="7" xr3:uid="{7A2F0625-FF49-3B40-8E28-CFA71391A462}" name="M-VALUE Now" totalsRowFunction="sum" dataDxfId="2899" totalsRowDxfId="385"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U97" totalsRowCount="1" headerRowDxfId="2898" headerRowCellStyle="Comma">
  <autoFilter ref="A2:BU96" xr:uid="{ECC01DA2-60F1-BF4B-ACA3-A0F40B7E0CCC}">
    <filterColumn colId="21">
      <filters>
        <filter val="USD"/>
      </filters>
    </filterColumn>
    <filterColumn colId="30">
      <filters>
        <filter val="Sale Back"/>
      </filters>
    </filterColumn>
  </autoFilter>
  <tableColumns count="73">
    <tableColumn id="2" xr3:uid="{F544B7F8-BF97-8A45-B935-F719FB8F2358}" name="Scale" totalsRowLabel="Total" dataDxfId="2897" totalsRowDxfId="2896">
      <calculatedColumnFormula>IF(_xlfn.XLOOKUP(Tab_NewTRADER[[#This Row],[ClickTick]],TabCalc[Ticker],TabCalc[Cur])="GBp",0.01,1)</calculatedColumnFormula>
    </tableColumn>
    <tableColumn id="3" xr3:uid="{A0AB56C0-34ED-7647-A2D7-CEDE051EAA0B}" name="LastBuy_RevRem_n" dataDxfId="2895" totalsRowDxfId="2894">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893" totalsRowDxfId="2892">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891" totalsRowDxfId="2890">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889" totalsRowDxfId="2888">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887" totalsRowDxfId="2886"/>
    <tableColumn id="12" xr3:uid="{9C535590-941A-F34B-A9D0-236D531EC146}" name="LastSale_RevBuy$" dataDxfId="2885" totalsRowDxfId="2884"/>
    <tableColumn id="13" xr3:uid="{7E4B2854-AD88-8F44-9B36-3527B92BFE22}" name="if_ReBuy_nSold" dataDxfId="2883" totalsRowDxfId="2882" dataCellStyle="Comma"/>
    <tableColumn id="15" xr3:uid="{42631D78-DA6A-4346-A3E3-F0F4C7D20072}" name="Rebuy2" dataDxfId="2881" totalsRowDxfId="2880" dataCellStyle="Comma"/>
    <tableColumn id="16" xr3:uid="{F090D56E-4B47-4145-BB5B-60D5505DD46A}" name="Gravity" dataDxfId="2879" totalsRowDxfId="2878" dataCellStyle="Comma">
      <calculatedColumnFormula>_xlfn.XLOOKUP(Tab_NewTRADER[[#This Row],[ClickTick]],TabCalc[Ticker],ListGravity)</calculatedColumnFormula>
    </tableColumn>
    <tableColumn id="17" xr3:uid="{927E998F-857E-BC46-B779-2EB2DE193C3E}" name="Extran" dataDxfId="2877" totalsRowDxfId="2876"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75" totalsRowDxfId="2874"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73" totalsRowDxfId="2872">
      <calculatedColumnFormula>_xlfn.XLOOKUP(Tab_NewTRADER[[#This Row],[ClickTick]],TabCalc[Ticker],TabCalc[Agiotage])</calculatedColumnFormula>
    </tableColumn>
    <tableColumn id="20" xr3:uid="{9EABC4C5-65FB-404F-89A5-5345EA1B7394}" name="RSI" dataDxfId="2871" totalsRowDxfId="2870" dataCellStyle="Comma">
      <calculatedColumnFormula array="1">_xlfn.XLOOKUP(Tab_NewTRADER[[#This Row],[ClickTick]],ListTickers,Tab2RSIConventional[RSIConv20])</calculatedColumnFormula>
    </tableColumn>
    <tableColumn id="11" xr3:uid="{CBE06797-F3C5-6A42-96D8-9AEB28BD7AD5}" name="Begin/Status" dataDxfId="2869" totalsRowDxfId="2868"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67" totalsRowDxfId="2866" dataCellStyle="Comma">
      <calculatedColumnFormula>_xlfn.XLOOKUP(Tab_NewTRADER[[#This Row],[ClickTick]],TabCalc[Ticker],TabCalc[L_Bn])</calculatedColumnFormula>
    </tableColumn>
    <tableColumn id="31" xr3:uid="{825F8E39-5F11-C847-BB1C-676AE1329220}" name="L_Bp" dataDxfId="2865" totalsRowDxfId="2864" dataCellStyle="Comma">
      <calculatedColumnFormula>_xlfn.XLOOKUP(Tab_NewTRADER[[#This Row],[ClickTick]],TabCalc[Ticker],TabCalc[L_Bp])</calculatedColumnFormula>
    </tableColumn>
    <tableColumn id="21" xr3:uid="{2641C657-2356-F646-B835-18D127562918}" name="Rev_Sale" dataDxfId="2863" totalsRowDxfId="2862">
      <calculatedColumnFormula>(Tab_NewTRADER[[#This Row],[M]]+Tab_NewTRADER[[#This Row],[L_Bp]])/ABS(Tab_NewTRADER[[#This Row],[L_Bp]])</calculatedColumnFormula>
    </tableColumn>
    <tableColumn id="22" xr3:uid="{25244692-7443-104A-9C79-1FECD84A3363}" name="Sale_Back_$" totalsRowFunction="sum" dataDxfId="2861" totalsRowDxfId="2860" dataCellStyle="Comma">
      <calculatedColumnFormula>_xlfn.XLOOKUP(Tab_NewTRADER[[#This Row],[ClickTick]],TabCalc[Ticker],TabCalc[Rev(MinStock)])*(1-Commission)</calculatedColumnFormula>
    </tableColumn>
    <tableColumn id="7" xr3:uid="{F9A3A5B8-9D64-6943-A241-C35EDDF8D0F4}" name="Agiotage" dataDxfId="2859" totalsRowDxfId="2858" dataCellStyle="Percent">
      <calculatedColumnFormula>_xlfn.XLOOKUP(Tab_NewTRADER[[#This Row],[ClickTick]],TabCalc[Ticker],TabCalc[Agiotage])</calculatedColumnFormula>
    </tableColumn>
    <tableColumn id="42" xr3:uid="{9BAC6DB6-C430-544B-BDB9-AAA15502FAEA}" name="SncOpenYest%" totalsRowFunction="sum" dataDxfId="2857" totalsRowDxfId="2856">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55" totalsRowDxfId="2854" dataCellStyle="Comma">
      <calculatedColumnFormula>_xlfn.XLOOKUP(Tab_NewTRADER[[#This Row],[ClickTick]],[1]!RTData[Ticker_Symbol],[1]!RTData[Currency])</calculatedColumnFormula>
    </tableColumn>
    <tableColumn id="9" xr3:uid="{5B3D0449-3083-104F-BEF1-0F8E798A3756}" name="M" dataDxfId="2853" totalsRowDxfId="2852" dataCellStyle="Comma">
      <calculatedColumnFormula>_xlfn.XLOOKUP(Tab_NewTRADER[[#This Row],[ClickTick]],TabCalc[Ticker],TabCalc[M])</calculatedColumnFormula>
    </tableColumn>
    <tableColumn id="10" xr3:uid="{F52D72B4-DC2C-EE45-B71F-2C4EE61D17C5}" name="ClickTick" dataDxfId="2851" totalsRowDxfId="2850">
      <calculatedColumnFormula>SORTING!B3</calculatedColumnFormula>
    </tableColumn>
    <tableColumn id="54" xr3:uid="{0D54D5B1-E447-A141-9CEA-048FB0ACF994}" name="Target1Y" dataDxfId="2849" totalsRowDxfId="2848">
      <calculatedColumnFormula>_xlfn.XLOOKUP(Tab_NewTRADER[[#This Row],[ClickTick]],TabCalc[Ticker],TabCalc[Y])</calculatedColumnFormula>
    </tableColumn>
    <tableColumn id="57" xr3:uid="{FDCE0577-D7E1-F249-9712-CE7E0698766E}" name="Y_Change" dataDxfId="2847" totalsRowDxfId="2846" dataCellStyle="Comma">
      <calculatedColumnFormula>_xlfn.XLOOKUP(Tab_NewTRADER[[#This Row],[ClickTick]],[1]!RTData[Ticker_Symbol],[1]!RTData[YTChange])</calculatedColumnFormula>
    </tableColumn>
    <tableColumn id="8" xr3:uid="{BAF99C80-02D2-5A42-82C6-6C8339AED17A}" name="A" dataDxfId="2845" totalsRowDxfId="2844" dataCellStyle="Comma">
      <calculatedColumnFormula>-_xlfn.XLOOKUP(Tab_NewTRADER[[#This Row],[ClickTick]]&amp;2,Consolid!B$3:JZ$3,Consolid!B$4:JZ$4)</calculatedColumnFormula>
    </tableColumn>
    <tableColumn id="60" xr3:uid="{95BC142D-6E8A-B444-85FC-FEE17D092380}" name="Ch%_Yest" dataDxfId="2843" totalsRowDxfId="2842" dataCellStyle="Comma">
      <calculatedColumnFormula array="1">_xlfn.XLOOKUP(Tab_NewTRADER[[#This Row],[ClickTick]],ListTickers,Tab1ChangePercent[Change%19])</calculatedColumnFormula>
    </tableColumn>
    <tableColumn id="52" xr3:uid="{972ED9E7-ED8E-7A46-B68E-39053E33CEF1}" name="N" dataDxfId="2841" totalsRowDxfId="2840">
      <calculatedColumnFormula>_xlfn.XLOOKUP(Tab_NewTRADER[[#This Row],[ClickTick]],TabCalc[Ticker],TabCalc[NAfter])</calculatedColumnFormula>
    </tableColumn>
    <tableColumn id="45" xr3:uid="{FDF1145F-56F7-0E48-B6F3-3D3DF3E3ADB7}" name="Glnow_/M_Value_K$" dataDxfId="2839" totalsRowDxfId="2838">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837" totalsRowDxfId="2836"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35" totalsRowDxfId="2834"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33" totalsRowDxfId="2832"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31" totalsRowDxfId="2830" dataCellStyle="Comma">
      <calculatedColumnFormula>TEXT(MIN(Tab_NewTRADER[[#This Row],[L_Bn]],Tab_NewTRADER[[#This Row],[N]]),"#,#0")&amp;" x "&amp;TEXT(Tab_NewTRADER[[#This Row],[L_Bp]],"#,#0.#0")</calculatedColumnFormula>
    </tableColumn>
    <tableColumn id="70" xr3:uid="{B27F1EB3-D3C6-4F4A-A48B-FDCE644B8668}" name="Sale_Real_GL" totalsRowFunction="sum" dataDxfId="2829" totalsRowDxfId="2828"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27" totalsRowDxfId="2826"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25" totalsRowDxfId="2824"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23" totalsRowDxfId="2822"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21" totalsRowDxfId="2820"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19" totalsRowDxfId="2818" dataCellStyle="Comma">
      <calculatedColumnFormula>Tab_NewTRADER[[#This Row],[M]]*Tab_NewTRADER[[#This Row],[N]]*(1-Commission)*Tab_NewTRADER[[#This Row],[Scale]]</calculatedColumnFormula>
    </tableColumn>
    <tableColumn id="36" xr3:uid="{10FB30A5-346F-1C46-89D5-EF5BE933EB36}" name="Rev%" dataDxfId="2817" totalsRowDxfId="2816"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15" totalsRowDxfId="2814"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13" totalsRowDxfId="2812"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11" totalsRowDxfId="2810" dataCellStyle="Percent">
      <calculatedColumnFormula>_xlfn.XLOOKUP(Tab_NewTRADER[[#This Row],[ClickTick]],TabCalc[Ticker],TabCalc[Ann%RevLB])</calculatedColumnFormula>
    </tableColumn>
    <tableColumn id="64" xr3:uid="{7540AFAE-2138-D74A-886C-0E61A6834B8D}" name="MUP" dataDxfId="2809" totalsRowDxfId="2808" dataCellStyle="Percent">
      <calculatedColumnFormula>_xlfn.XLOOKUP(Tab_NewTRADER[[#This Row],[ClickTick]],TabCalc[Ticker],TabCalc[Up20])</calculatedColumnFormula>
    </tableColumn>
    <tableColumn id="62" xr3:uid="{56742740-21B6-AC4C-9A63-6E7717F6EEFF}" name="vs.LBt%" dataDxfId="2807" totalsRowDxfId="2806"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05" totalsRowDxfId="2804"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803" totalsRowDxfId="2802"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801" totalsRowDxfId="2800"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799" totalsRowDxfId="2798"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797" totalsRowDxfId="2796"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795" totalsRowDxfId="2794">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793" totalsRowDxfId="2792"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791" totalsRowDxfId="2790" dataCellStyle="Comma">
      <calculatedColumnFormula>_xlfn.XLOOKUP(Tab_NewTRADER[[#This Row],[ClickTick]],TabCalc[Ticker],TabCalc[L_Sn])</calculatedColumnFormula>
    </tableColumn>
    <tableColumn id="32" xr3:uid="{7D176C34-E1DE-F848-BEEF-6859598E4854}" name="L_Sp" dataDxfId="2789" totalsRowDxfId="2788" dataCellStyle="Comma">
      <calculatedColumnFormula>_xlfn.XLOOKUP(Tab_NewTRADER[[#This Row],[ClickTick]],TabCalc[Ticker],TabCalc[L_Sp])</calculatedColumnFormula>
    </tableColumn>
    <tableColumn id="23" xr3:uid="{8D63D518-EA41-0048-9AE5-E491648C27F3}" name="Rev_Buy" dataDxfId="2787" totalsRowDxfId="2786">
      <calculatedColumnFormula>-IFERROR((Tab_NewTRADER[[#This Row],[M]]-Tab_NewTRADER[[#This Row],[L_Sp]])/Tab_NewTRADER[[#This Row],[L_Sp]],0)</calculatedColumnFormula>
    </tableColumn>
    <tableColumn id="24" xr3:uid="{70C8CEC2-9935-EF4C-A760-C0DADF165FC3}" name="Buy_Back" totalsRowFunction="sum" dataDxfId="2785" totalsRowDxfId="2784"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783" totalsRowDxfId="2782">
      <calculatedColumnFormula>Tab_NewTRADER[[#This Row],[L_Sn]]*(Tab_NewTRADER[[#This Row],[Agiotage]]-Tab_NewTRADER[[#This Row],[M]])/(Tab_NewTRADER[[#This Row],[L_Bn]]*Tab_NewTRADER[[#This Row],[M]])</calculatedColumnFormula>
    </tableColumn>
    <tableColumn id="25" xr3:uid="{C23E21C5-B6CC-A542-9AF5-1B824F3914E6}" name="TakeGain_A" dataDxfId="2781" totalsRowDxfId="2780">
      <calculatedColumnFormula>IFERROR((Tab_NewTRADER[[#This Row],[M]]-Tab_NewTRADER[[#This Row],[A]])/Tab_NewTRADER[[#This Row],[A]],0)</calculatedColumnFormula>
    </tableColumn>
    <tableColumn id="26" xr3:uid="{89433C34-C92E-3749-A695-E1BD516EDBD0}" name="Alln*M-A:GL$" dataDxfId="2779" totalsRowDxfId="2778"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777" totalsRowDxfId="2776" dataCellStyle="Comma"/>
    <tableColumn id="49" xr3:uid="{B5351217-27E8-9948-92FB-ACB765578519}" name="MinB/M" dataDxfId="2775" totalsRowDxfId="2774" dataCellStyle="Comma"/>
    <tableColumn id="28" xr3:uid="{D6F2DA0A-7C18-DD41-96BC-99007F7745B2}" name="Tick_M_A" dataDxfId="2773" totalsRowDxfId="2772">
      <calculatedColumnFormula>Tab_NewTRADER[[#This Row],[ClickTick]]&amp;": "&amp;_xlfn.XLOOKUP(Tab_NewTRADER[[#This Row],[ClickTick]],TabCalc[Ticker],TabCalc[Pile?])</calculatedColumnFormula>
    </tableColumn>
    <tableColumn id="29" xr3:uid="{0D49A582-BF99-4740-A3A3-FCED46FF1C81}" name="Status" totalsRowFunction="count" dataDxfId="2771" totalsRowDxfId="2770"/>
    <tableColumn id="35" xr3:uid="{4362D88A-E648-3C43-830B-F896928DACCD}" name="Code" dataDxfId="2769" totalsRowDxfId="2768">
      <calculatedColumnFormula array="1">_xlfn.TEXTJOIN("",,INDEX({"M","A","Y"}, _xlfn.SORTBY({1,2,3}, -CHOOSE({1,2,3}, Tab_NewTRADER[[#This Row],[M]], Tab_NewTRADER[[#This Row],[A]], Tab_NewTRADER[[#This Row],[Agiotage]]))))</calculatedColumnFormula>
    </tableColumn>
    <tableColumn id="37" xr3:uid="{898D08AD-3FDF-824F-9820-3B43B5420B89}" name="TonM" dataDxfId="2767" totalsRowDxfId="2766">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765">
      <calculatedColumnFormula>Tab_NewTRADER[[#This Row],[L_Sn]]*Tab_NewTRADER[[#This Row],[L_Sp]]+Tab_NewTRADER[[#This Row],[SellMore]]*Tab_NewTRADER[[#This Row],[M]]</calculatedColumnFormula>
    </tableColumn>
    <tableColumn id="39" xr3:uid="{5BFEBEE3-3101-D249-BDAF-C20F1C2D5BCB}" name="SellMore" dataDxfId="2764">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63"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62" totalsRowDxfId="2761">
      <calculatedColumnFormula>Tab_NewTRADER[[#This Row],[ReBuy]]/(Tab_NewTRADER[[#This Row],[L_Sn]]+Tab_NewTRADER[[#This Row],[SellMore]])</calculatedColumnFormula>
    </tableColumn>
    <tableColumn id="43" xr3:uid="{76D1A96F-FF41-BA4B-BC3C-DCC815BDD574}" name="Column7" dataDxfId="2760">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59">
      <calculatedColumnFormula>(Tab_NewTRADER[[#This Row],[M]]-Tab_NewTRADER[[#This Row],[Agiotage]])/(Tab_NewTRADER[[#This Row],[M]]-Tab_NewTRADER[[#This Row],[A]])-1</calculatedColumnFormula>
    </tableColumn>
    <tableColumn id="68" xr3:uid="{50CA317E-5938-6544-AD2F-2EC587A9F499}" name="index" dataDxfId="2758" totalsRowDxfId="2757">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56">
  <autoFilter ref="A2:DF96" xr:uid="{C94A2884-1EAF-2440-ABF7-1645FA906D96}"/>
  <tableColumns count="110">
    <tableColumn id="12" xr3:uid="{0F5B2D42-2A6A-3E47-981E-DFEFA4FB933B}" name="Cur" dataDxfId="2755" totalsRowDxfId="99">
      <calculatedColumnFormula>_xlfn.XLOOKUP(TabCalc[[#This Row],[Ticker]],[1]!RTData[Ticker_Symbol],[1]!RTData[Currency])</calculatedColumnFormula>
    </tableColumn>
    <tableColumn id="11" xr3:uid="{1AECACE1-E3D9-6449-814E-049162DE6BD7}" name="Scale" dataDxfId="2754" totalsRowDxfId="98">
      <calculatedColumnFormula>IF(TabCalc[[#This Row],[Cur]]="GBP",0.01,1)</calculatedColumnFormula>
    </tableColumn>
    <tableColumn id="2" xr3:uid="{79940D82-514D-B946-ABF3-4043A316AFB0}" name="Nbegin" dataDxfId="2753">
      <calculatedColumnFormula>_xlfn.XLOOKUP(TabCalc[[#This Row],[Ticker]],DQ$3:DQ$96,DR$3:DR$96)</calculatedColumnFormula>
    </tableColumn>
    <tableColumn id="3" xr3:uid="{5B2C5F05-73FF-2042-B2C7-D6F523FC5E81}" name="PriceBeg" dataDxfId="2752" totalsRowDxfId="97">
      <calculatedColumnFormula>_xlfn.XLOOKUP(TabCalc[[#This Row],[Ticker]],DQ$3:DQ$96,DS$3:DS$96)</calculatedColumnFormula>
    </tableColumn>
    <tableColumn id="4" xr3:uid="{24DC3B7F-9B31-024E-B53D-219E6C7D5AE7}" name="ValueBegin" totalsRowFunction="sum" dataDxfId="2751" totalsRowDxfId="96">
      <calculatedColumnFormula>SUMPRODUCT(C3,D3,B3)</calculatedColumnFormula>
    </tableColumn>
    <tableColumn id="5" xr3:uid="{90E3CC6B-3435-2A4D-B969-2D690A7A4D90}" name="M_V" totalsRowFunction="sum" dataDxfId="2750" totalsRowDxfId="95">
      <calculatedColumnFormula>TabCalc[[#This Row],[NAfter]]*TabCalc[[#This Row],[M]]*TabCalc[[#This Row],[Scale]]</calculatedColumnFormula>
    </tableColumn>
    <tableColumn id="9" xr3:uid="{17196C10-F846-944B-8D6F-A909FA9CA6C3}" name="NAfter" dataDxfId="2749">
      <calculatedColumnFormula>IFERROR(TabCalc[[#This Row],[SB]]-TabCalc[[#This Row],[SST]],TabCalc[[#This Row],[SB]])</calculatedColumnFormula>
    </tableColumn>
    <tableColumn id="1" xr3:uid="{2F69AA85-E0C5-5649-9823-CAE9A5A0CBB5}" name="Ticker" totalsRowLabel="Total" dataDxfId="2748">
      <calculatedColumnFormula>[1]!RTData[[#This Row],[Ticker_Symbol]]</calculatedColumnFormula>
    </tableColumn>
    <tableColumn id="6" xr3:uid="{4AB40075-F4E8-2743-9BA0-E64582E2C63F}" name="M" dataDxfId="2747" totalsRowDxfId="94">
      <calculatedColumnFormula>_xlfn.XLOOKUP(TabCalc[[#This Row],[Ticker]],[1]!RTData[Ticker_Symbol],[1]!RTData[M-Price])</calculatedColumnFormula>
    </tableColumn>
    <tableColumn id="89" xr3:uid="{593FD77D-7493-0348-8517-405F87BFD0F2}" name="A" dataDxfId="2746" totalsRowDxfId="93" dataCellStyle="Comma">
      <calculatedColumnFormula>_xlfn.XLOOKUP(TabCalc[[#This Row],[Ticker]]&amp;2,#REF!,#REF!)</calculatedColumnFormula>
    </tableColumn>
    <tableColumn id="76" xr3:uid="{6DD12444-E9F0-8D49-B8AB-20E86CF499C6}" name="Y" dataDxfId="2745" totalsRowDxfId="92">
      <calculatedColumnFormula>_xlfn.XLOOKUP(TabCalc[[#This Row],[Ticker]],[1]!RTData[Ticker_Symbol],[1]!RTData[1YT])</calculatedColumnFormula>
    </tableColumn>
    <tableColumn id="31" xr3:uid="{2AFC8A0F-DB21-7940-9164-133266F4D5CA}" name="E" dataDxfId="2744" totalsRowDxfId="91" dataCellStyle="Comma">
      <calculatedColumnFormula>IF(OR(TabCalc[[#This Row],[NAfter]]=0,TabCalc[[#This Row],[EfCost]]&gt;0),0,TabCalc[[#This Row],[EfCost]]/TabCalc[[#This Row],[NAfter]]/TabCalc[[#This Row],[Scale]])</calculatedColumnFormula>
    </tableColumn>
    <tableColumn id="88" xr3:uid="{69D77B69-0989-0D41-89D3-E175D978C58F}" name="Ch_Today" dataDxfId="2743" totalsRowDxfId="90" dataCellStyle="Percent">
      <calculatedColumnFormula>_xlfn.XLOOKUP(TabCalc[[#This Row],[Ticker]],[1]!RTData[Ticker_Symbol],[1]!RTData[Change%])</calculatedColumnFormula>
    </tableColumn>
    <tableColumn id="94" xr3:uid="{026ACAF4-BBD8-BE46-A3D3-9212D85F81A2}" name="Up20" dataDxfId="2742" totalsRowDxfId="89" dataCellStyle="Percent"/>
    <tableColumn id="98" xr3:uid="{CBD64ADC-34AE-BE41-923A-A11C1C477BF0}" name="Imp20" dataDxfId="2741" totalsRowDxfId="88" dataCellStyle="Percent">
      <calculatedColumnFormula>TabCalc[[#This Row],[Up20]]-1+TabCalc[[#This Row],[Up20]]</calculatedColumnFormula>
    </tableColumn>
    <tableColumn id="95" xr3:uid="{C3B02805-2FCB-254F-992B-F61A900C6715}" name="DifUps" dataDxfId="2740" totalsRowDxfId="87" dataCellStyle="Percent">
      <calculatedColumnFormula>TabCalc[[#This Row],[Up20]]-TabCalc[[#This Row],[Up150]]</calculatedColumnFormula>
    </tableColumn>
    <tableColumn id="93" xr3:uid="{20FA27BE-2257-A94D-84D7-413544098B2E}" name="Up150" dataDxfId="2739" totalsRowDxfId="86" dataCellStyle="Percent"/>
    <tableColumn id="97" xr3:uid="{17A0CA6F-6756-D741-BA84-AA541111FDAD}" name="Imp150" dataDxfId="2738" totalsRowDxfId="85" dataCellStyle="Percent">
      <calculatedColumnFormula>TabCalc[[#This Row],[Up150]]-1+TabCalc[[#This Row],[Up150]]</calculatedColumnFormula>
    </tableColumn>
    <tableColumn id="99" xr3:uid="{867135F0-2D21-6C40-A1ED-DD7A80D7DF28}" name="DPWC150" totalsRowFunction="average" dataDxfId="2737" totalsRowDxfId="8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36" totalsRowDxfId="8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35" totalsRowDxfId="82" dataCellStyle="Percent"/>
    <tableColumn id="105" xr3:uid="{E585BCF0-24A6-CE48-AAD9-AA41784D95F1}" name="BMZ" dataDxfId="2734" totalsRowDxfId="81" dataCellStyle="Percent"/>
    <tableColumn id="104" xr3:uid="{11AD2B90-C720-F24E-A0C2-E6CFDE92521B}" name="NMZ" totalsRowFunction="count" dataDxfId="2733" totalsRowDxfId="80" dataCellStyle="Percent"/>
    <tableColumn id="100" xr3:uid="{8C13792E-F7C4-7147-AAFE-3C5B0E4FF22C}" name="Type" totalsRowFunction="custom" dataDxfId="2732" totalsRowDxfId="7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31" totalsRowDxfId="7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30" totalsRowDxfId="77" dataCellStyle="Comma">
      <calculatedColumnFormula>MIN(TabCalc[[#This Row],[L_Bn]],TabCalc[[#This Row],[NAfter]])*(TabCalc[[#This Row],[M]]+TabCalc[[#This Row],[L_Bp]])*TabCalc[[#This Row],[Scale]]</calculatedColumnFormula>
    </tableColumn>
    <tableColumn id="57" xr3:uid="{61CB5DD9-990C-444A-8A9A-B5A3F63AC5BA}" name="L_Bdate" dataDxfId="2729" totalsRowDxfId="76" dataCellStyle="Comma">
      <calculatedColumnFormula array="1">_xlfn.XLOOKUP(TabCalc[[#This Row],[L_Bp]],INDIRECT("TabReg["&amp;TabCalc[[#This Row],[Ticker]]&amp;"2]"),INDIRECT("TabReg["&amp;TabCalc[[#This Row],[Ticker]]&amp;"]"))</calculatedColumnFormula>
    </tableColumn>
    <tableColumn id="58" xr3:uid="{B97BBC50-62D2-D74E-B0AC-9A79AFFB8818}" name="L_Bn" dataDxfId="2728" totalsRowDxfId="75" dataCellStyle="Comma">
      <calculatedColumnFormula array="1">_xlfn.XLOOKUP(TabCalc[[#This Row],[L_Bp]],INDIRECT("TabReg["&amp;TabCalc[[#This Row],[Ticker]]&amp;"2]"),INDIRECT("TabReg["&amp;TabCalc[[#This Row],[Ticker]]&amp;"1]"))</calculatedColumnFormula>
    </tableColumn>
    <tableColumn id="55" xr3:uid="{A1199879-DD12-CB4E-AAD8-E0534D24B690}" name="L_Bp" dataDxfId="2727" totalsRowDxfId="7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26" totalsRowDxfId="73" dataCellStyle="Comma">
      <calculatedColumnFormula>IFERROR(MIN(TabCalc[[#This Row],[L_B1n]],TabCalc[[#This Row],[NAfter]])*(TabCalc[[#This Row],[M]]+TabCalc[[#This Row],[L_B1p]])*TabCalc[[#This Row],[Scale]],"")</calculatedColumnFormula>
    </tableColumn>
    <tableColumn id="66" xr3:uid="{82A32C1F-EE4F-AB4B-BF62-F8332273D8CE}" name="L_B1D" dataDxfId="2725" totalsRowDxfId="7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24" totalsRowDxfId="7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23" totalsRowDxfId="7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22" totalsRowDxfId="69" dataCellStyle="Calculation">
      <calculatedColumnFormula>IFERROR(TabCalc[[#This Row],[L_Sn]]*(TabCalc[[#This Row],[L_Sp]]-TabCalc[[#This Row],[M]])*TabCalc[[#This Row],[Scale]],"")</calculatedColumnFormula>
    </tableColumn>
    <tableColumn id="51" xr3:uid="{6CAE4E9A-EAC5-3147-B472-CEE8C1395CBA}" name="L_SDate" dataDxfId="2721" totalsRowDxfId="6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20" totalsRowDxfId="6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19" totalsRowDxfId="6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18" totalsRowDxfId="65" dataCellStyle="Calculation">
      <calculatedColumnFormula>IFERROR(TabCalc[[#This Row],[L_S1n]]*(TabCalc[[#This Row],[L_S1p]]-TabCalc[[#This Row],[M]])*TabCalc[[#This Row],[Scale]],0)</calculatedColumnFormula>
    </tableColumn>
    <tableColumn id="63" xr3:uid="{63AB1132-34CF-3A46-9EF3-A6CDF1D161BA}" name="L_S1D" dataDxfId="2717" totalsRowDxfId="6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16" totalsRowDxfId="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15" totalsRowDxfId="6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14" totalsRowDxfId="6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13" totalsRowDxfId="6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12" totalsRowDxfId="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11" totalsRowDxfId="58" dataCellStyle="Comma">
      <calculatedColumnFormula>TabCalc[[#This Row],[Y]]/TabCalc[[#This Row],[M]]</calculatedColumnFormula>
    </tableColumn>
    <tableColumn id="62" xr3:uid="{A6A715A1-5EAC-7D4E-A0A1-D497A62E967F}" name="Refill1" dataDxfId="2710" totalsRowDxfId="5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09" totalsRowDxfId="5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0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07">
      <calculatedColumnFormula>TabCalc[[#This Row],[NAfter]]-TabCalc[[#This Row],[Nbegin]]</calculatedColumnFormula>
    </tableColumn>
    <tableColumn id="8" xr3:uid="{3ED81788-89C0-E043-B2C8-940FCCF3F968}" name="Repulse" totalsRowFunction="min" dataDxfId="2706" totalsRowDxfId="55">
      <calculatedColumnFormula>IFERROR((TabCalc[[#This Row],[M]]-TabCalc[[#This Row],[Y]])*(TabCalc[[#This Row],[M]]-TabCalc[[#This Row],[Y]])*(TabCalc[[#This Row],[M]]-TabCalc[[#This Row],[Y]])/(TabCalc[[#This Row],[Y]]*TabCalc[[#This Row],[M]]),"")</calculatedColumnFormula>
    </tableColumn>
    <tableColumn id="10" xr3:uid="{742FEA6C-1386-9649-A227-FE3B3FEB4C46}" name="Ori_Sold" dataDxfId="2705">
      <calculatedColumnFormula>IF(G3&lt;C3,C3-G3,0)</calculatedColumnFormula>
    </tableColumn>
    <tableColumn id="13" xr3:uid="{9306F3B6-FAED-BF41-9784-D24E68FA8E08}" name="V/VA" dataDxfId="2704" dataCellStyle="Percent">
      <calculatedColumnFormula>_xlfn.XLOOKUP(TabCalc[[#This Row],[Ticker]],[1]!RTData[Ticker_Symbol],[1]!RTData[V/VA])</calculatedColumnFormula>
    </tableColumn>
    <tableColumn id="14" xr3:uid="{64584A98-1609-EA47-928A-85F6E57963D8}" name="TimeEX" dataDxfId="2703"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702" dataCellStyle="Percent">
      <calculatedColumnFormula>IF(ISNUMBER(TabCalc[[#This Row],[TimeEX]]),TabCalc[[#This Row],[V/VA]]/TabCalc[[#This Row],[TimeEX]],TabCalc[[#This Row],[V/VA]])</calculatedColumnFormula>
    </tableColumn>
    <tableColumn id="16" xr3:uid="{E95746C7-89D0-DA4D-8303-4531E4BF4FC1}" name="NoT_C" totalsRowFunction="sum" dataDxfId="2701" totalsRowDxfId="54" dataCellStyle="Comma">
      <calculatedColumnFormula array="1">INDEX(TabReg[], 1, _xlfn.XMATCH(TabCalc[[#This Row],[Ticker]]&amp;1, TabReg[#Headers], 0))</calculatedColumnFormula>
    </tableColumn>
    <tableColumn id="17" xr3:uid="{661CE259-E64B-DB47-A6BC-A5148B2937DB}" name="NoT_GL" totalsRowFunction="sum" dataDxfId="2700" totalsRowDxfId="53" dataCellStyle="Comma">
      <calculatedColumnFormula>TabCalc[[#This Row],[Nbegin]]*TabCalc[[#This Row],[M]]*TabCalc[[#This Row],[Scale]]+TabCalc[[#This Row],[ValueBegin]]</calculatedColumnFormula>
    </tableColumn>
    <tableColumn id="18" xr3:uid="{AE2EBD48-00F0-E646-B666-E964C45EF224}" name="GLStatus" totalsRowFunction="sum" dataDxfId="2699" totalsRowDxfId="52" dataCellStyle="Comma">
      <calculatedColumnFormula array="1">_xlfn.IFS(TabCalc[[#This Row],[Cost+Gain]]&gt;0,"Free",             TabCalc[[#This Row],[GL]]&gt;0,"Gainer",                TRUE,"Looser")</calculatedColumnFormula>
    </tableColumn>
    <tableColumn id="28" xr3:uid="{DB09D693-CEE2-6841-BEF2-459A1A933876}" name="AddBuys" totalsRowFunction="sum" dataDxfId="2698" totalsRowDxfId="51" dataCellStyle="Comma">
      <calculatedColumnFormula>TabCalc[[#This Row],[Tot_Paid]]-TabCalc[[#This Row],[ValueBegin]]</calculatedColumnFormula>
    </tableColumn>
    <tableColumn id="81" xr3:uid="{7891CD83-058E-0247-BEB0-98866D1BADC5}" name="AddCash" totalsRowFunction="sum" dataDxfId="2697" totalsRowDxfId="5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696" totalsRowDxfId="49" dataCellStyle="Comma">
      <calculatedColumnFormula>TabCalc[[#This Row],[M_V]]+TabCalc[[#This Row],[ValueBegin]]</calculatedColumnFormula>
    </tableColumn>
    <tableColumn id="20" xr3:uid="{F30A4AB2-55E0-994C-B1F8-F1BF294BAA34}" name="Tot_Paid" totalsRowFunction="sum" dataDxfId="2695" totalsRowDxfId="4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694" totalsRowDxfId="4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693" totalsRowDxfId="46"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692" totalsRowDxfId="45" dataCellStyle="Comma">
      <calculatedColumnFormula>TabCalc[[#This Row],[M_V]]+TabCalc[[#This Row],[EfCost]]</calculatedColumnFormula>
    </tableColumn>
    <tableColumn id="29" xr3:uid="{ECEB5A93-8BB2-A14E-B72F-CF2C9E93A299}" name="Cost+Gain" totalsRowFunction="sum" dataDxfId="2691" totalsRowDxfId="44" dataCellStyle="Comma">
      <calculatedColumnFormula>IF(        OR( TabCalc[[#This Row],[GL]]&gt;ABS(TabCalc[[#This Row],[EfCost]]),TabCalc[[#This Row],[NAfter]]=0),             TabCalc[[#This Row],[GL]],     0)</calculatedColumnFormula>
    </tableColumn>
    <tableColumn id="24" xr3:uid="{3819A9BC-F941-604F-B0CE-1F4B1F951905}" name="SB" totalsRowFunction="sum" dataDxfId="2690" totalsRowDxfId="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689" totalsRowDxfId="42" dataCellStyle="Comma">
      <calculatedColumnFormula>TabCalc[[#This Row],[SB]]-TabCalc[[#This Row],[Nbegin]]</calculatedColumnFormula>
    </tableColumn>
    <tableColumn id="23" xr3:uid="{4E9DD018-B419-3E40-8C39-3EA46D617A64}" name="SST" totalsRowFunction="sum" dataDxfId="2688" totalsRowDxfId="4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687" totalsRowDxfId="4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686" totalsRowDxfId="39" dataCellStyle="Comma">
      <calculatedColumnFormula>IF(TabCalc[[#This Row],[EfCost]]+TabCalc[[#This Row],[M_V]]&lt;TabCalc[[#This Row],[NoT_GL]],"Pile","")</calculatedColumnFormula>
    </tableColumn>
    <tableColumn id="34" xr3:uid="{4565A2A1-5EDC-FF47-84D2-E24B40FBD98E}" name="L-ExT" dataDxfId="2685" totalsRowDxfId="38" dataCellStyle="Comma">
      <calculatedColumnFormula>_xlfn.XLOOKUP(TabCalc[[#This Row],[Ticker]],[1]!RTData[Ticker_Symbol],[1]!RTData[Last trade time])</calculatedColumnFormula>
    </tableColumn>
    <tableColumn id="32" xr3:uid="{B1DB4F36-B904-474A-B050-47338283DA35}" name="CostReduct" totalsRowFunction="sum" dataDxfId="2684" totalsRowDxfId="37" dataCellStyle="Comma">
      <calculatedColumnFormula>(TabCalc[[#This Row],[ValueBegin]]+(TabCalc[[#This Row],[M]]-TabCalc[[#This Row],[A]])*TabCalc[[#This Row],[NAfter]])*TabCalc[[#This Row],[Scale]]</calculatedColumnFormula>
    </tableColumn>
    <tableColumn id="36" xr3:uid="{170CFEF4-900E-C344-B73F-EC5E388E31F1}" name="L_I1" dataDxfId="2683" totalsRowDxfId="36" dataCellStyle="Comma">
      <calculatedColumnFormula array="1">_xlfn.XLOOKUP(TabCalc[[#This Row],[Ticker]],TabReg[[#Headers],[AAPL]:[UnknownX28]],Reg!B$72:KF$72)+3</calculatedColumnFormula>
    </tableColumn>
    <tableColumn id="37" xr3:uid="{B9D91A31-483A-7140-A42E-1CB6C1D429F2}" name="L_I2" dataDxfId="2682" totalsRowDxfId="35" dataCellStyle="Comma">
      <calculatedColumnFormula array="1">_xlfn.XLOOKUP(TabCalc[[#This Row],[Ticker]],TabReg[[#Headers],[AAPL]:[UnknownX28]],Reg!B$73:KF$73)+2</calculatedColumnFormula>
    </tableColumn>
    <tableColumn id="22" xr3:uid="{8E34A39B-834E-354F-ADB3-DB7A321ABE6F}" name="L_TD" dataDxfId="2681" totalsRowDxfId="34" dataCellStyle="Comma">
      <calculatedColumnFormula>IFERROR(MAX(TabCalc[[#This Row],[Max_SD]],TabCalc[[#This Row],[Max_PD]]),0)</calculatedColumnFormula>
    </tableColumn>
    <tableColumn id="90" xr3:uid="{487FCB73-3571-8F44-9430-C425B5EAA38E}" name="TradeType" dataDxfId="2680" totalsRowDxfId="33" dataCellStyle="Comma">
      <calculatedColumnFormula array="1">_xlfn.LET(_xlpm.LAST_T,TabCalc[[#This Row],[L_TP]],_xlfn.IFS(_xlpm.LAST_T&lt;0,"Purchase",_xlpm.LAST_T&gt;0,"Sale"))</calculatedColumnFormula>
    </tableColumn>
    <tableColumn id="38" xr3:uid="{0832896C-9759-BE41-A69C-9C619066560B}" name="L_T#" dataDxfId="2679" totalsRowDxfId="32" dataCellStyle="Comma">
      <calculatedColumnFormula array="1">INDEX(Reg!$A$1:$KF$73,TabCalc[[#This Row],[L_I1]],TabCalc[[#This Row],[L_I2]])</calculatedColumnFormula>
    </tableColumn>
    <tableColumn id="39" xr3:uid="{491797D8-2284-B54E-8576-4AE558FEB74E}" name="L_TP" dataDxfId="2678" totalsRowDxfId="31" dataCellStyle="Comma">
      <calculatedColumnFormula array="1">INDEX(Reg!$A$1:$KF$73,TabCalc[[#This Row],[L_I1]],TabCalc[[#This Row],[L_I2]]+1)</calculatedColumnFormula>
    </tableColumn>
    <tableColumn id="35" xr3:uid="{F649126A-1339-A142-93CA-70CCDF7B20D3}" name="Resale(ME)" totalsRowFunction="sum" dataDxfId="2677" totalsRowDxfId="30" dataCellStyle="Comma">
      <calculatedColumnFormula>TabCalc[[#This Row],[NAfter]]*(TabCalc[[#This Row],[M]]-IF(TabCalc[[#This Row],[E]]&gt;0,0,TabCalc[[#This Row],[A]]))</calculatedColumnFormula>
    </tableColumn>
    <tableColumn id="42" xr3:uid="{80830DD6-ED9B-6D4C-AD1D-2BB8039767D9}" name="Min_SD" dataDxfId="2676" totalsRowDxfId="29" dataCellStyle="Comma">
      <calculatedColumnFormula array="1">IFERROR(MIN(_xlfn._xlws.FILTER(INDIRECT("TabReg["&amp;TabCalc[[#This Row],[Ticker]]&amp;"]"), INDIRECT("TabReg["&amp;TabCalc[[#This Row],[Ticker]]&amp;"2]")&gt;0)),0)</calculatedColumnFormula>
    </tableColumn>
    <tableColumn id="43" xr3:uid="{F89BBC3C-4F74-EF46-A27D-4C943ADB2B3E}" name="Min_Sn" dataDxfId="2675" totalsRowDxfId="28" dataCellStyle="Comma">
      <calculatedColumnFormula array="1">IFERROR(MIN(_xlfn._xlws.FILTER(INDIRECT("TabReg["&amp;TabCalc[[#This Row],[Ticker]]&amp;"1]"), INDIRECT("TabReg["&amp;TabCalc[[#This Row],[Ticker]]&amp;"2]")&gt;0)),0)</calculatedColumnFormula>
    </tableColumn>
    <tableColumn id="44" xr3:uid="{BDAB22CD-D535-184A-8CF5-ADC254BE3DEB}" name="Min_SP" dataDxfId="2674" totalsRowDxfId="27" dataCellStyle="Comma">
      <calculatedColumnFormula array="1">IFERROR(MIN(_xlfn._xlws.FILTER(INDIRECT("TabReg["&amp;TabCalc[[#This Row],[Ticker]]&amp;"2]"), INDIRECT("TabReg["&amp;TabCalc[[#This Row],[Ticker]]&amp;"2]")&gt;0)),0)</calculatedColumnFormula>
    </tableColumn>
    <tableColumn id="45" xr3:uid="{E335D0E5-CFC2-A947-B7BD-120EA369286A}" name="Max_SD" dataDxfId="2673" totalsRowDxfId="26" dataCellStyle="Comma">
      <calculatedColumnFormula array="1">IFERROR(MAX(_xlfn._xlws.FILTER(INDIRECT("TabReg["&amp;TabCalc[[#This Row],[Ticker]]&amp;"]"), INDIRECT("TabReg["&amp;TabCalc[[#This Row],[Ticker]]&amp;"2]")&gt;0)),0)</calculatedColumnFormula>
    </tableColumn>
    <tableColumn id="46" xr3:uid="{6D449514-A79E-104D-9623-52BA62C7519E}" name="Max_Sn" dataDxfId="2672" totalsRowDxfId="25" dataCellStyle="Comma">
      <calculatedColumnFormula array="1">IFERROR(MAX(_xlfn._xlws.FILTER(INDIRECT("TabReg["&amp;TabCalc[[#This Row],[Ticker]]&amp;"1]"), INDIRECT("TabReg["&amp;TabCalc[[#This Row],[Ticker]]&amp;"2]")&gt;0)),0)</calculatedColumnFormula>
    </tableColumn>
    <tableColumn id="47" xr3:uid="{F38BA202-850B-AF4E-AA4F-8ACDF7D3D33E}" name="Max_SP" dataDxfId="2671" totalsRowDxfId="2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670" totalsRowDxfId="23" dataCellStyle="Comma">
      <calculatedColumnFormula>-IFERROR(MIN(INDIRECT("TabConsolid["&amp;TabCalc[[#This Row],[Ticker]]&amp;"2]")),0)</calculatedColumnFormula>
    </tableColumn>
    <tableColumn id="48" xr3:uid="{A50A08BF-FE5B-B04F-AFB9-97B2140F2515}" name="Min_PD" dataDxfId="2669"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668"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667"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666"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665"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664"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663"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62"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61"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60"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59"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58"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57"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656" totalsRowDxfId="9" dataCellStyle="Comma">
      <calculatedColumnFormula>IF(TabCalc[[#This Row],[ntoBuy]]*TabCalc[[#This Row],[M]]&lt;=0,0,TabCalc[[#This Row],[ntoBuy]]*TabCalc[[#This Row],[M]])</calculatedColumnFormula>
    </tableColumn>
    <tableColumn id="79" xr3:uid="{EBF3C3E2-6DB1-E544-B094-91307A9FD36D}" name="ntoSell" dataDxfId="2655"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54" totalsRowDxfId="7" dataCellStyle="Comma">
      <calculatedColumnFormula>TabCalc[[#This Row],[ntoSell]]*TabCalc[[#This Row],[M]]</calculatedColumnFormula>
    </tableColumn>
    <tableColumn id="78" xr3:uid="{C55523C0-D45F-8642-B597-19E7E57CF51A}" name="NMA" dataDxfId="2653"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52" totalsRowDxfId="5" dataCellStyle="Comma">
      <calculatedColumnFormula>IFERROR(TabCalc[[#This Row],[NMA]]*TabCalc[[#This Row],[M]],"")</calculatedColumnFormula>
    </tableColumn>
    <tableColumn id="91" xr3:uid="{4773B977-3DE4-0E42-B9FE-48F08243F277}" name="GLMore@A" dataDxfId="2651"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50" totalsRowDxfId="3" dataCellStyle="Percent">
      <calculatedColumnFormula>IFERROR((TabCalc[[#This Row],[M]]+TabCalc[[#This Row],[L_Bp]])/ABS(TabCalc[[#This Row],[L_Bp]])/(TODAY()-TabCalc[[#This Row],[L_Bdate]])*360,"")</calculatedColumnFormula>
    </tableColumn>
    <tableColumn id="103" xr3:uid="{E450379B-1A0B-524C-B698-62CF13D40A42}" name="Median" dataDxfId="2649" totalsRowDxfId="2" dataCellStyle="Percent">
      <calculatedColumnFormula>MEDIAN(DataShift!F704:Z704)</calculatedColumnFormula>
    </tableColumn>
    <tableColumn id="107" xr3:uid="{E193DC56-5187-FA45-B1A4-DA39C98DEBAF}" name="Ag:Ch" dataDxfId="2648"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47" totalsRowDxfId="0" dataCellStyle="Comma">
      <calculatedColumnFormula>TabCalc[[#This Row],[Nbegin]]*TabCalc[[#This Row],[Scale]]*TabCalc[[#This Row],[M]]</calculatedColumnFormula>
    </tableColumn>
    <tableColumn id="110" xr3:uid="{E5C0DC06-28AA-F041-8609-A15AD282662D}" name="Column2" dataDxfId="2646"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45">
  <autoFilter ref="DQ2:DS96" xr:uid="{A89BE8A1-EE62-2A4F-B94D-8CCFEB7A2182}"/>
  <tableColumns count="3">
    <tableColumn id="1" xr3:uid="{83C2141C-EB57-9649-821A-E765DD32C16E}" name="OldTicker" dataDxfId="2644"/>
    <tableColumn id="2" xr3:uid="{F9F7757D-7FFC-2A47-A064-09E4F7795175}" name="OriStock" dataDxfId="2643"/>
    <tableColumn id="3" xr3:uid="{B7BC1A5E-7EFA-9440-97AF-1C13CBDF3B16}" name="OriPrice" dataDxfId="26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41">
  <autoFilter ref="A4:P98" xr:uid="{8F010E09-40DE-CB49-9705-081A37BD3E66}"/>
  <tableColumns count="16">
    <tableColumn id="1" xr3:uid="{D248D7C8-FE91-5D4B-93B0-CA802F8BF9F0}" name="MSGSTicker" dataDxfId="2640">
      <calculatedColumnFormula>Calc!H3</calculatedColumnFormula>
    </tableColumn>
    <tableColumn id="2" xr3:uid="{DCEA20D1-EEC9-F34D-8887-3170D7506040}" name="Static" dataDxfId="2639" dataCellStyle="Comma"/>
    <tableColumn id="3" xr3:uid="{66E8CFC1-6152-2B40-A74D-C51B3D12C26A}" name="Expectation" dataDxfId="2638"/>
    <tableColumn id="4" xr3:uid="{DAF82BBB-C5D4-2C4F-B0F3-D3EB85303B5F}" name="Change" dataDxfId="2637" dataCellStyle="Percent"/>
    <tableColumn id="5" xr3:uid="{86913868-25DE-D143-935E-08543076F0FC}" name="Agio" dataDxfId="2636"/>
    <tableColumn id="6" xr3:uid="{A8E86DB9-D431-B64F-9DE4-7C08E738DBD4}" name="RevenueM&gt;A" dataDxfId="2635"/>
    <tableColumn id="7" xr3:uid="{518090EA-8F28-9B4A-8A12-CC16C3F84E1E}" name="MarkUP" dataCellStyle="Percent"/>
    <tableColumn id="8" xr3:uid="{2C3D6668-A65F-AA42-9077-0DB8624C7676}" name="M_LIVE" dataDxfId="2634">
      <calculatedColumnFormula>Calc!I3</calculatedColumnFormula>
    </tableColumn>
    <tableColumn id="9" xr3:uid="{43FE98D8-979D-8E4C-A91E-E80C6A08278B}" name="StDate" dataDxfId="2633"/>
    <tableColumn id="10" xr3:uid="{D924EA8C-E924-5F4D-AB2A-FEFB0B39DA11}" name="Status"/>
    <tableColumn id="11" xr3:uid="{9E249F30-F4A3-034A-A05D-802CDFBDDDD1}" name="Column1" dataDxfId="2632">
      <calculatedColumnFormula>_xlfn.XLOOKUP(G5,TabCalc[Ticker],TabCalc[Agiotage])</calculatedColumnFormula>
    </tableColumn>
    <tableColumn id="12" xr3:uid="{029C6B83-00D1-E045-ABBA-AD69A72591DF}" name="Column2" dataDxfId="2631">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30">
      <calculatedColumnFormula>_xlfn.XLOOKUP(G5,TabCalc[Ticker],TabCalc[Up20])</calculatedColumnFormula>
    </tableColumn>
    <tableColumn id="14" xr3:uid="{25D0468D-5365-F54E-80A2-14573D13D064}" name="Column4" dataDxfId="2629">
      <calculatedColumnFormula>_xlfn.XLOOKUP(G5,TabCalc[Ticker],TabCalc[M])</calculatedColumnFormula>
    </tableColumn>
    <tableColumn id="15" xr3:uid="{38403065-CF68-DC4E-A1FD-7601DFE95046}" name="Column5" dataDxfId="2628">
      <calculatedColumnFormula>TODAY()</calculatedColumnFormula>
    </tableColumn>
    <tableColumn id="16" xr3:uid="{D49A7D78-707A-9D46-8D9E-EB721E9CF457}" name="Column6" dataDxfId="2627">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26" tableBorderDxfId="2625">
  <autoFilter ref="F4:Z98" xr:uid="{12BDC163-61DF-264F-92B2-E45DC613B4C4}"/>
  <tableColumns count="21">
    <tableColumn id="1" xr3:uid="{EEADBAE1-5103-2A42-AC82-712785472BF0}" name="Close0" dataDxfId="2624"/>
    <tableColumn id="2" xr3:uid="{AE7EFBB8-D06A-C040-9713-4E49B46FECE7}" name="Close1" dataDxfId="2623"/>
    <tableColumn id="3" xr3:uid="{8841397E-CEB0-F942-82C3-85FBA5B005A1}" name="Close2" dataDxfId="2622"/>
    <tableColumn id="4" xr3:uid="{4AFD7B8B-092B-F546-8C5F-44A7CACE4DF6}" name="Close3" dataDxfId="2621"/>
    <tableColumn id="5" xr3:uid="{65D3394C-DDBB-8F4A-9B2B-7C2AE4CFEBBF}" name="Close4" dataDxfId="2620"/>
    <tableColumn id="6" xr3:uid="{283C7AA4-4055-3548-8D00-36EB7B6CEE5D}" name="Close5" dataDxfId="2619"/>
    <tableColumn id="7" xr3:uid="{78CAA80F-F236-E648-9556-69668646706D}" name="Close6" dataDxfId="2618" dataCellStyle="Percent"/>
    <tableColumn id="8" xr3:uid="{744FAAA4-A199-9B4E-87F9-38DF61826509}" name="Close7" dataDxfId="2617"/>
    <tableColumn id="9" xr3:uid="{BC32CFF7-F793-3040-BCF8-1567BA8BEE70}" name="Close8" dataDxfId="2616"/>
    <tableColumn id="10" xr3:uid="{3A714541-23EB-5B4A-A7EA-1A51C49368D2}" name="Close9" dataDxfId="2615"/>
    <tableColumn id="11" xr3:uid="{F62761C7-0A15-9448-8CF3-C007A34184F4}" name="Close10" dataDxfId="2614"/>
    <tableColumn id="12" xr3:uid="{8998ECDF-4D42-274E-822A-FBFDE0359088}" name="Close11" dataDxfId="2613"/>
    <tableColumn id="13" xr3:uid="{CDE8531B-700E-3E45-874F-42552F16C3B0}" name="Close12" dataDxfId="2612" dataCellStyle="Comma"/>
    <tableColumn id="14" xr3:uid="{4F7F7C8C-725F-D745-B627-B5851174E054}" name="Close13" dataDxfId="2611"/>
    <tableColumn id="15" xr3:uid="{B764A379-6E77-524D-84CE-F3D153DC33B6}" name="Close14" dataDxfId="2610"/>
    <tableColumn id="16" xr3:uid="{4331A404-8007-CA4F-9AE0-B2C01B0833A7}" name="Close15" dataDxfId="2609"/>
    <tableColumn id="17" xr3:uid="{0E7625FB-2D36-0248-B8EB-47E2820C4276}" name="Close16" dataDxfId="2608" dataCellStyle="Comma"/>
    <tableColumn id="18" xr3:uid="{D5281074-BB4E-6F4E-AD11-1983B5F6F52A}" name="Close17" dataDxfId="2607" dataCellStyle="Comma"/>
    <tableColumn id="19" xr3:uid="{D2D3DB13-7D54-904A-B3FA-E6ECA88164A0}" name="Close18" dataDxfId="2606" dataCellStyle="Comma"/>
    <tableColumn id="20" xr3:uid="{A6BDE463-026D-A14D-A56E-1A389384E71F}" name="Close19" dataDxfId="2605"/>
    <tableColumn id="21" xr3:uid="{8739BE66-982C-0B4D-A9FA-B2E2DE7CCF03}" name="Close20" dataDxfId="260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03" dataDxfId="2602" tableBorderDxfId="2601">
  <autoFilter ref="F104:Z198" xr:uid="{7798B848-3F46-BA40-8424-750FBB9BF60F}"/>
  <tableColumns count="21">
    <tableColumn id="1" xr3:uid="{6FEF1508-A20B-AA45-A9AC-4C624E068446}" name="Open0" dataDxfId="2600"/>
    <tableColumn id="2" xr3:uid="{A968BA88-43F9-8744-8D9C-EE0A5FE428C5}" name="Open1" dataDxfId="2599"/>
    <tableColumn id="3" xr3:uid="{084E3773-67E5-6546-877A-017B9C02A673}" name="Open2" dataDxfId="2598"/>
    <tableColumn id="4" xr3:uid="{D159A5E9-303F-2B4C-A90F-C1854A80FA6B}" name="Open3" dataDxfId="2597"/>
    <tableColumn id="5" xr3:uid="{CE8D320D-FD87-4F41-9A24-52676668D9C7}" name="Open4" dataDxfId="2596"/>
    <tableColumn id="6" xr3:uid="{1D8AD5A2-1882-E045-9FDE-A8B14CC49F19}" name="Open5" dataDxfId="2595"/>
    <tableColumn id="7" xr3:uid="{06E18F72-7E37-A84D-A205-389EC66FF62B}" name="Open6" dataDxfId="2594"/>
    <tableColumn id="8" xr3:uid="{78284C14-C4CF-F04E-8F5D-41B356BE8667}" name="Open7" dataDxfId="2593"/>
    <tableColumn id="9" xr3:uid="{9A312717-8B10-A641-9532-CFF04B325F56}" name="Open8" dataDxfId="2592"/>
    <tableColumn id="10" xr3:uid="{913B10DB-C756-D444-9334-829A62032C37}" name="Open9" dataDxfId="2591"/>
    <tableColumn id="11" xr3:uid="{D4686E54-DA00-094B-A567-7A6FCE459B04}" name="Open10" dataDxfId="2590"/>
    <tableColumn id="12" xr3:uid="{8C32C6DF-BCB0-0F4F-8B25-02BDFE0C90E8}" name="Open11" dataDxfId="2589"/>
    <tableColumn id="13" xr3:uid="{5A561081-F5CD-6B4D-B465-1869DCBCB727}" name="Open12" dataDxfId="2588"/>
    <tableColumn id="14" xr3:uid="{B8D9766C-03C2-9B40-B56F-15C155EC7762}" name="Open13" dataDxfId="2587"/>
    <tableColumn id="15" xr3:uid="{69794E79-649D-B04A-9E6D-A1FB7FD06CC4}" name="Open14" dataDxfId="2586"/>
    <tableColumn id="16" xr3:uid="{2C43AD13-A168-9A4D-869C-1EA09EDDFD22}" name="Open15" dataDxfId="2585"/>
    <tableColumn id="17" xr3:uid="{17AFBD30-9F2E-1A4C-8AA5-71AFA3BF092C}" name="Open16" dataDxfId="2584"/>
    <tableColumn id="18" xr3:uid="{1F620BC4-C578-3545-B148-8C7E16D7F5FE}" name="Open17" dataDxfId="2583"/>
    <tableColumn id="19" xr3:uid="{B560E636-BDB1-AA40-86EC-4E1A75517D70}" name="Open18" dataDxfId="2582"/>
    <tableColumn id="20" xr3:uid="{714C2841-15F8-C249-873E-4343067B0240}" name="Open19" dataDxfId="2581"/>
    <tableColumn id="21" xr3:uid="{D347935C-0F22-024F-8C36-90AFCCDAE1AF}" name="Open20" dataDxfId="258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79" dataDxfId="2578" tableBorderDxfId="2577">
  <autoFilter ref="F204:Z298" xr:uid="{EB4BB861-7DAC-314C-88E1-E031AC845B22}"/>
  <tableColumns count="21">
    <tableColumn id="1" xr3:uid="{A4E5A9D6-B024-1848-9F1D-71E156809148}" name="Price0" dataDxfId="2576"/>
    <tableColumn id="2" xr3:uid="{52A5C813-441A-0F44-A905-B78DFD4A3E7C}" name="Price1" dataDxfId="2575"/>
    <tableColumn id="3" xr3:uid="{ED453191-6F79-4140-B4A3-749667D3669A}" name="Price2" dataDxfId="2574"/>
    <tableColumn id="4" xr3:uid="{2B0E655A-259C-864B-AEA5-8BFBC75DFA5F}" name="Price3" dataDxfId="2573"/>
    <tableColumn id="5" xr3:uid="{31D31267-41BA-A84C-9512-B812956F8287}" name="Price4" dataDxfId="2572"/>
    <tableColumn id="6" xr3:uid="{6E482D3D-F09A-AD46-BFEC-448C11C27A1B}" name="Price5" dataDxfId="2571"/>
    <tableColumn id="7" xr3:uid="{8DCBD691-FA2F-5C4F-8741-758F221535B8}" name="Price6" dataDxfId="2570"/>
    <tableColumn id="8" xr3:uid="{F81A28A3-D8E8-C548-BBF7-52E767E3560F}" name="Price7" dataDxfId="2569"/>
    <tableColumn id="9" xr3:uid="{F36950E3-5E7A-C44B-BDEC-5FF51E1821C0}" name="Price8" dataDxfId="2568"/>
    <tableColumn id="10" xr3:uid="{94001300-D30A-164C-9AF4-A6C18C1D8233}" name="Price9" dataDxfId="2567"/>
    <tableColumn id="11" xr3:uid="{1762A2DB-B308-ED43-944F-330F2C82AF06}" name="Price10" dataDxfId="2566"/>
    <tableColumn id="12" xr3:uid="{664B20E9-BD46-EB4E-8614-25B89B67B0C5}" name="Price11" dataDxfId="2565"/>
    <tableColumn id="13" xr3:uid="{85F76311-414E-8345-9FCC-75CCEC1CF031}" name="Price12" dataDxfId="2564"/>
    <tableColumn id="14" xr3:uid="{39B5CAB1-7AF2-ED40-844D-4C3150F8440D}" name="Price13" dataDxfId="2563"/>
    <tableColumn id="15" xr3:uid="{EAFED719-DCFC-8346-BF51-C8F86D4EF22A}" name="Price14" dataDxfId="2562"/>
    <tableColumn id="16" xr3:uid="{F0C7D109-ABBE-184B-9657-0BD76C0A19B9}" name="Price15" dataDxfId="2561"/>
    <tableColumn id="17" xr3:uid="{255011AA-1459-4E42-A3A6-ACA53BC0738C}" name="Price16" dataDxfId="2560"/>
    <tableColumn id="18" xr3:uid="{F9009A2B-6610-1349-8B9E-07FE9A1901DB}" name="Price17" dataDxfId="2559"/>
    <tableColumn id="19" xr3:uid="{F72FCCC2-2EE5-3B40-B6E1-BC512B2A567B}" name="Price18" dataDxfId="2558"/>
    <tableColumn id="20" xr3:uid="{FFF62431-CB3E-DD4C-B035-809B1E6C4777}" name="Price19" dataDxfId="2557"/>
    <tableColumn id="21" xr3:uid="{6CA9E17B-C9CB-5D40-9BDE-F4B681DB70A8}" name="Price20" dataDxfId="255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55" dataDxfId="2554" tableBorderDxfId="2553" dataCellStyle="Comma">
  <autoFilter ref="AB4:AV98" xr:uid="{6AB25A1F-426D-5D41-AF5C-E0BACF53B0F0}"/>
  <tableColumns count="21">
    <tableColumn id="1" xr3:uid="{C7F03BE7-11FE-E841-9EF9-83F5C6F6FF3F}" name="Stock0" dataDxfId="2552" dataCellStyle="Comma"/>
    <tableColumn id="2" xr3:uid="{18A6D9C1-5DF4-2B40-9126-0E253FF416D7}" name="Stock1" dataDxfId="2551" dataCellStyle="Comma"/>
    <tableColumn id="3" xr3:uid="{4C2FC7F7-8430-F04E-8872-D98FF3A3D75B}" name="Stock2" dataDxfId="2550" dataCellStyle="Comma"/>
    <tableColumn id="4" xr3:uid="{838478B3-3270-1143-9694-B70966ED2654}" name="Stock3" dataDxfId="2549" dataCellStyle="Comma"/>
    <tableColumn id="5" xr3:uid="{F32213CF-064E-9342-B3E7-EA3E20AC95ED}" name="Stock4" dataDxfId="2548" dataCellStyle="Comma"/>
    <tableColumn id="6" xr3:uid="{C02BEF2E-2769-C04B-B440-6091CCD42B79}" name="Stock5" dataDxfId="2547" dataCellStyle="Comma"/>
    <tableColumn id="7" xr3:uid="{0F048FA9-BD2E-1F4C-AC9C-84F2091208AD}" name="Stock6" dataDxfId="2546" dataCellStyle="Comma"/>
    <tableColumn id="8" xr3:uid="{146ACADB-FB47-A542-9FA4-6EDCECB46FC4}" name="Stock7" dataDxfId="2545" dataCellStyle="Comma"/>
    <tableColumn id="9" xr3:uid="{96904AC0-9C5F-D043-BEDD-6B33D0EC239E}" name="Stock8" dataDxfId="2544" dataCellStyle="Comma"/>
    <tableColumn id="10" xr3:uid="{61E1D695-049F-5440-81AB-7D97F9E0F5CB}" name="Stock9" dataDxfId="2543" dataCellStyle="Comma"/>
    <tableColumn id="11" xr3:uid="{66B73799-E0BE-0049-82BC-096FB61FE577}" name="Stock10" dataDxfId="2542" dataCellStyle="Comma"/>
    <tableColumn id="12" xr3:uid="{F7F319CC-4A25-7345-A1A3-E1E93F1B82F6}" name="Stock11" dataDxfId="2541" dataCellStyle="Comma"/>
    <tableColumn id="13" xr3:uid="{D935BDD0-C5FF-414D-B97A-D213626F8B26}" name="Stock12" dataDxfId="2540" dataCellStyle="Comma"/>
    <tableColumn id="14" xr3:uid="{516F2104-B757-F94E-AB0F-428E98774253}" name="Stock13" dataDxfId="2539" dataCellStyle="Comma"/>
    <tableColumn id="15" xr3:uid="{2D08D160-51A8-914D-BB06-71F9E133FF42}" name="Stock14" dataDxfId="2538" dataCellStyle="Comma"/>
    <tableColumn id="16" xr3:uid="{A6311255-1F3F-E94F-A911-9E0083E20212}" name="Stock15" dataDxfId="2537" dataCellStyle="Comma"/>
    <tableColumn id="17" xr3:uid="{63865F5A-7539-144A-A7BF-3F28BA206DC5}" name="Stock16" dataDxfId="2536" dataCellStyle="Comma"/>
    <tableColumn id="18" xr3:uid="{53365510-D756-014D-B723-CBF92DEF74E4}" name="Stock17" dataDxfId="2535" dataCellStyle="Comma"/>
    <tableColumn id="19" xr3:uid="{4526F642-C055-8A46-B59D-A903CB7704F2}" name="Stock18" dataDxfId="2534" dataCellStyle="Comma"/>
    <tableColumn id="20" xr3:uid="{4D633FC2-817A-0D44-977B-DC0ADA7FA9EA}" name="Stock19" dataDxfId="2533" dataCellStyle="Comma"/>
    <tableColumn id="21" xr3:uid="{17C3BFF9-DE7F-F049-8716-2E4A3E209A88}" name="Stock20" dataDxfId="253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31" dataDxfId="2530" tableBorderDxfId="2529" dataCellStyle="Percent">
  <autoFilter ref="AB104:AV198" xr:uid="{5E09C67E-B492-C14D-BA21-53D0DFBBCF19}"/>
  <tableColumns count="21">
    <tableColumn id="1" xr3:uid="{4844BFD7-46E9-AD4D-A30F-27D7E320248D}" name="XAgio0" dataDxfId="2528" dataCellStyle="Percent"/>
    <tableColumn id="2" xr3:uid="{7A1C1DBC-E8A9-9C43-8D4C-79908C623B18}" name="XAgio1" dataDxfId="2527" dataCellStyle="Percent"/>
    <tableColumn id="3" xr3:uid="{F5F51D62-A156-3A4B-B1D3-94FCD61FC950}" name="XAgio2" dataDxfId="2526" dataCellStyle="Percent"/>
    <tableColumn id="4" xr3:uid="{E7F601FB-9DA1-9646-901B-25613F200B8E}" name="XAgio3" dataDxfId="2525" dataCellStyle="Percent"/>
    <tableColumn id="5" xr3:uid="{75D6ABA4-DA21-5B45-A87C-3A40C095EEDD}" name="XAgio4" dataDxfId="2524" dataCellStyle="Percent"/>
    <tableColumn id="6" xr3:uid="{456553CB-4622-3A40-868B-E76C74ECEC20}" name="XAgio5" dataDxfId="2523" dataCellStyle="Percent"/>
    <tableColumn id="7" xr3:uid="{A3974414-65F7-E44F-9012-7BB38B2A109D}" name="XAgio6" dataDxfId="2522" dataCellStyle="Percent"/>
    <tableColumn id="8" xr3:uid="{9AF89B43-794D-0044-8721-675D2C6D4F3E}" name="XAgio7" dataDxfId="2521" dataCellStyle="Percent"/>
    <tableColumn id="9" xr3:uid="{F5B7FA23-D7FE-BC47-9591-E9DA8FF929C2}" name="XAgio8" dataDxfId="2520" dataCellStyle="Percent"/>
    <tableColumn id="10" xr3:uid="{65D900EF-8A52-3C44-9629-8C6C9CD41130}" name="XAgio9" dataDxfId="2519" dataCellStyle="Percent"/>
    <tableColumn id="11" xr3:uid="{5E70DF05-8BA0-2D41-982A-D2D655974B5A}" name="XAgio10" dataDxfId="2518" dataCellStyle="Percent"/>
    <tableColumn id="12" xr3:uid="{B092C649-E1A7-3344-B40E-2BF9506A0880}" name="XAgio11" dataDxfId="2517" dataCellStyle="Percent"/>
    <tableColumn id="13" xr3:uid="{840DE593-5252-9C4A-BE7A-3D48632B63B7}" name="XAgio12" dataDxfId="2516" dataCellStyle="Percent"/>
    <tableColumn id="14" xr3:uid="{2E89F770-65D9-BB4A-B172-0E7996075FB4}" name="XAgio13" dataDxfId="2515" dataCellStyle="Percent"/>
    <tableColumn id="15" xr3:uid="{F177428E-AD8D-DF4B-A7AA-B15CB23DB9E4}" name="XAgio14" dataDxfId="2514" dataCellStyle="Percent"/>
    <tableColumn id="16" xr3:uid="{BCD73CCF-78D3-EC44-880D-FD6173967D68}" name="XAgio15" dataDxfId="2513" dataCellStyle="Percent"/>
    <tableColumn id="17" xr3:uid="{972D2180-01FF-264F-BA6C-033AD490130B}" name="XAgio16" dataDxfId="2512" dataCellStyle="Percent"/>
    <tableColumn id="18" xr3:uid="{BA2DE4B4-20B3-5943-8FBF-B47FBCAB9092}" name="XAgio17" dataDxfId="2511" dataCellStyle="Percent"/>
    <tableColumn id="19" xr3:uid="{34B59026-2C3D-8B4A-A730-B5D8AC1FD6FA}" name="XAgio18" dataDxfId="2510" dataCellStyle="Percent"/>
    <tableColumn id="20" xr3:uid="{9D4953E9-4D29-F647-B767-013FD23C3406}" name="XAgio19" dataDxfId="2509" dataCellStyle="Percent"/>
    <tableColumn id="21" xr3:uid="{C64D4FA9-A244-B04F-ABB2-1CF53E36712C}" name="XAgio20" dataDxfId="250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07" dataDxfId="2506" tableBorderDxfId="2505" dataCellStyle="Comma">
  <autoFilter ref="AB204:AV298" xr:uid="{A0EA3112-2FB6-FF42-841C-1FCA71A552B8}"/>
  <tableColumns count="21">
    <tableColumn id="1" xr3:uid="{AFEB9715-0820-D341-B6DD-56D90ACA4EB8}" name="AVGChan0" totalsRowLabel="Total" dataDxfId="2504" dataCellStyle="Comma"/>
    <tableColumn id="2" xr3:uid="{C5555382-638A-5E4F-9F9E-F76D19F860CD}" name="AVGChan1" dataDxfId="2503" dataCellStyle="Comma"/>
    <tableColumn id="3" xr3:uid="{CC180859-B3A9-A74D-854E-75282058C806}" name="AVGChan2" dataDxfId="2502" dataCellStyle="Comma"/>
    <tableColumn id="4" xr3:uid="{0B2BD7AB-D580-E44F-9EE2-E63D10A83637}" name="AVGChan3" dataDxfId="2501" dataCellStyle="Comma"/>
    <tableColumn id="5" xr3:uid="{A007109A-0054-AC49-B4CC-AC0ABA7FCC51}" name="AVGChan4" dataDxfId="2500" dataCellStyle="Comma"/>
    <tableColumn id="6" xr3:uid="{ADA20693-A5A5-AE4B-B88C-B65CB781B96B}" name="AVGChan5" dataDxfId="2499" dataCellStyle="Comma"/>
    <tableColumn id="7" xr3:uid="{7D26F7E4-E81D-D340-9014-5ACD0B49DD1E}" name="AVGChan6" dataDxfId="2498" dataCellStyle="Comma"/>
    <tableColumn id="8" xr3:uid="{4FEFA07A-6190-8C40-852E-B947C25694E4}" name="AVGChan7" dataDxfId="2497" dataCellStyle="Comma"/>
    <tableColumn id="9" xr3:uid="{200C4B95-289F-6742-B20B-64883DC43885}" name="AVGChan8" dataDxfId="2496" dataCellStyle="Comma"/>
    <tableColumn id="10" xr3:uid="{4C9BF29D-D210-D542-ACA3-179CDDE9DAF7}" name="AVGChan9" dataDxfId="2495" dataCellStyle="Comma"/>
    <tableColumn id="11" xr3:uid="{B85A0FFF-0B92-E545-AA74-114F3489EF28}" name="AVGChan10" dataDxfId="2494" dataCellStyle="Comma"/>
    <tableColumn id="12" xr3:uid="{36FAB0C0-8931-7C4A-A4D4-F1D9B93019C4}" name="AVGChan11" dataDxfId="2493" dataCellStyle="Comma"/>
    <tableColumn id="13" xr3:uid="{3F14D851-FC58-CF45-A44B-BEB6ECE74CF5}" name="AVGChan12" dataDxfId="2492" dataCellStyle="Comma"/>
    <tableColumn id="14" xr3:uid="{76BFA56E-7A6D-D648-8E97-C919C4B1D64E}" name="AVGChan13" dataDxfId="2491" dataCellStyle="Comma"/>
    <tableColumn id="15" xr3:uid="{42ECD6EE-13DD-CA41-8888-DBF465AE6675}" name="AVGChan14" dataDxfId="2490" dataCellStyle="Comma"/>
    <tableColumn id="16" xr3:uid="{4A0F3AFD-AFF8-4845-BF6E-71EEAC694084}" name="AVGChan15" dataDxfId="2489" dataCellStyle="Comma"/>
    <tableColumn id="17" xr3:uid="{BB41E69B-766F-CA4C-8F73-8229D71B0FBD}" name="AVGChan16" dataDxfId="2488" dataCellStyle="Comma"/>
    <tableColumn id="18" xr3:uid="{4E0F70D5-E77D-5544-BB80-5273D6D6DAD6}" name="AVGChan17" dataDxfId="2487" dataCellStyle="Comma"/>
    <tableColumn id="19" xr3:uid="{C0969DD6-BF9F-4F43-AE89-B3456AD8AEBA}" name="AVGChan18" dataDxfId="2486" dataCellStyle="Comma"/>
    <tableColumn id="20" xr3:uid="{3B8AD847-1069-8C45-ABC0-C614EB40C498}" name="AVGChan19" dataDxfId="2485" dataCellStyle="Comma"/>
    <tableColumn id="21" xr3:uid="{6E962B66-DD99-C04D-82E7-4A68E8C053FD}" name="AVGChan20" totalsRowFunction="max" dataDxfId="2484" totalsRowDxfId="248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82" dataDxfId="2481" tableBorderDxfId="2480">
  <autoFilter ref="F304:Z398" xr:uid="{8341DCDD-9E59-2740-A24A-0BAB86A4C294}"/>
  <tableColumns count="21">
    <tableColumn id="1" xr3:uid="{05BF7933-5282-7743-AAEF-BA70016123D1}" name="Low0" dataDxfId="2479"/>
    <tableColumn id="2" xr3:uid="{AEBAE2DC-B6D6-0D45-8ED5-23D6DE0D188E}" name="Low1" dataDxfId="2478"/>
    <tableColumn id="3" xr3:uid="{7397E65D-0B52-944C-B00D-ACBE6FC8970C}" name="Low2" dataDxfId="2477"/>
    <tableColumn id="4" xr3:uid="{65199958-FB50-644B-A6CD-D9B4A6A31C81}" name="Low3" dataDxfId="2476"/>
    <tableColumn id="5" xr3:uid="{D4E76AA6-38FC-044A-8136-1857F432C2D3}" name="Low4" dataDxfId="2475"/>
    <tableColumn id="6" xr3:uid="{ED22DB04-9A39-FA4C-A400-F3A5E3819087}" name="Low5" dataDxfId="2474"/>
    <tableColumn id="7" xr3:uid="{0691BBF2-D7EE-5E42-95D5-979DA294E3E7}" name="Low6" dataDxfId="2473"/>
    <tableColumn id="8" xr3:uid="{74FD8EEA-5F19-9447-855C-6D265EC39B98}" name="Low7" dataDxfId="2472"/>
    <tableColumn id="9" xr3:uid="{E09EB8DA-7DAF-AB45-BDDC-046B45CF7281}" name="Low8" dataDxfId="2471"/>
    <tableColumn id="10" xr3:uid="{3878FE9A-1C85-B84F-AC92-CB845274D16C}" name="Low9" dataDxfId="2470"/>
    <tableColumn id="11" xr3:uid="{B8430559-485B-B541-8B61-B3AA3978406D}" name="Low10" dataDxfId="2469"/>
    <tableColumn id="12" xr3:uid="{37EF61DB-B6C4-5742-A9A0-AAEAD0B7FCE6}" name="Low11" dataDxfId="2468"/>
    <tableColumn id="13" xr3:uid="{B119276C-5FBF-1A44-8632-7C3C430B2A4D}" name="Low12" dataDxfId="2467"/>
    <tableColumn id="14" xr3:uid="{49F0F70A-AA8D-204B-9C66-28455E39E699}" name="Low13" dataDxfId="2466"/>
    <tableColumn id="15" xr3:uid="{1A9F3FC6-0480-244A-91A4-82DAB8F1B54C}" name="Low14" dataDxfId="2465"/>
    <tableColumn id="16" xr3:uid="{547FE690-F1C5-B04D-B2DF-6360BB404F5A}" name="Low15" dataDxfId="2464"/>
    <tableColumn id="17" xr3:uid="{D819DC47-43F2-AC44-883E-2374E2163BF7}" name="Low16" dataDxfId="2463"/>
    <tableColumn id="18" xr3:uid="{88351988-EF51-384B-AC10-2BC7C2582A51}" name="Low17" dataDxfId="2462"/>
    <tableColumn id="19" xr3:uid="{01380C41-88F2-4D41-8C9D-E40D9F6441F5}" name="Low18" dataDxfId="2461"/>
    <tableColumn id="20" xr3:uid="{84321462-E49A-E747-ABFD-DD17E624EC5A}" name="Low19" dataDxfId="2460"/>
    <tableColumn id="21" xr3:uid="{684AE721-DDC5-814C-9DAE-F132DA57CEBA}" name="Low20" dataDxfId="245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58" dataDxfId="2457" tableBorderDxfId="2456" dataCellStyle="Comma">
  <autoFilter ref="AB304:AV398" xr:uid="{505C5E5D-245B-A747-9456-0A0E743C05A8}"/>
  <tableColumns count="21">
    <tableColumn id="1" xr3:uid="{F7696D4B-4AED-544C-B7C4-D7CE117BA3E4}" name="Sald0" dataDxfId="2455" dataCellStyle="Comma"/>
    <tableColumn id="2" xr3:uid="{715ED5A9-49EF-A648-85DA-96BA79BF9465}" name="Sald1" dataDxfId="2454" dataCellStyle="Comma"/>
    <tableColumn id="3" xr3:uid="{C7F806CC-F109-4247-B40E-74E3AE1489B3}" name="Sald2" dataDxfId="2453" dataCellStyle="Comma"/>
    <tableColumn id="4" xr3:uid="{18B41461-0D38-0849-89C0-982034BE0F82}" name="Sald3" dataDxfId="2452" dataCellStyle="Comma"/>
    <tableColumn id="5" xr3:uid="{8298E28E-80F4-1048-8A5F-010EBB7B8A3E}" name="Sald4" dataDxfId="2451" dataCellStyle="Comma"/>
    <tableColumn id="6" xr3:uid="{32D5C376-8552-A04D-9ED9-02FE6C79D9A2}" name="Sald5" dataDxfId="2450" dataCellStyle="Comma"/>
    <tableColumn id="7" xr3:uid="{0ABF3F59-1C72-A14A-9072-D4A990EA8CE3}" name="Sald6" dataDxfId="2449" dataCellStyle="Comma"/>
    <tableColumn id="8" xr3:uid="{0FD2AAEC-31D8-8C4D-A76B-31EAAFF62550}" name="Sald7" dataDxfId="2448" dataCellStyle="Comma"/>
    <tableColumn id="9" xr3:uid="{F861BBF0-6B76-7944-AEF1-EE42D7F8BE67}" name="Sald8" dataDxfId="2447" dataCellStyle="Comma"/>
    <tableColumn id="10" xr3:uid="{C7145DD9-60A5-6649-B81D-9A811F1A04C8}" name="Sald9" dataDxfId="2446" dataCellStyle="Comma"/>
    <tableColumn id="11" xr3:uid="{44B06E69-05E2-7E4A-AC70-25BCA74106DD}" name="Sald10" dataDxfId="2445" dataCellStyle="Comma"/>
    <tableColumn id="12" xr3:uid="{A3625923-E054-3845-B42D-2D38393132BF}" name="Sald11" dataDxfId="2444" dataCellStyle="Comma"/>
    <tableColumn id="13" xr3:uid="{CF2D3173-D401-C247-BA64-D3BECA1113C9}" name="Sald12" dataDxfId="2443" dataCellStyle="Comma"/>
    <tableColumn id="14" xr3:uid="{7CA064B5-3FF3-5347-A4DA-C9135895E78E}" name="Sald13" dataDxfId="2442" dataCellStyle="Comma"/>
    <tableColumn id="15" xr3:uid="{F88906F4-6EF3-8D44-AFB3-7F6171120460}" name="Sald14" dataDxfId="2441" dataCellStyle="Comma"/>
    <tableColumn id="16" xr3:uid="{08BE88DE-285E-DD4E-9B94-ABF49BDF2583}" name="Sald15" dataDxfId="2440" dataCellStyle="Comma"/>
    <tableColumn id="17" xr3:uid="{FF350C71-FB06-814C-AB62-C38F3BD8773D}" name="Sald16" dataDxfId="2439" dataCellStyle="Comma"/>
    <tableColumn id="18" xr3:uid="{871A4128-CC31-834F-9E52-C6732E47E371}" name="Sald17" dataDxfId="2438" dataCellStyle="Comma"/>
    <tableColumn id="19" xr3:uid="{CEC6770B-F0F3-E944-84DF-0EB3CF5BF1C5}" name="Sald18" dataDxfId="2437" dataCellStyle="Comma"/>
    <tableColumn id="20" xr3:uid="{4ED80F33-FFBC-754A-BC03-7BBA30F2CF36}" name="Sald19" dataDxfId="2436" dataCellStyle="Comma"/>
    <tableColumn id="21" xr3:uid="{EE7FE24F-4084-A047-A96A-BFD7777A0526}" name="Sald20" dataDxfId="243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34" dataDxfId="2433" tableBorderDxfId="2432">
  <autoFilter ref="F404:Z498" xr:uid="{72791BE6-AE3B-984E-9283-1FCA25508BF8}"/>
  <tableColumns count="21">
    <tableColumn id="1" xr3:uid="{5F2442DC-292F-7E44-9E79-EC5946746F80}" name="High0" dataDxfId="2431"/>
    <tableColumn id="2" xr3:uid="{0549D8C8-5CD6-D547-AA4E-06EF2CCBBC47}" name="High1" dataDxfId="2430"/>
    <tableColumn id="3" xr3:uid="{9808B4C7-981B-8E41-932E-5EEDB044D191}" name="High2" dataDxfId="2429"/>
    <tableColumn id="4" xr3:uid="{B0305D9C-4013-9546-B636-C1949178510D}" name="High3" dataDxfId="2428"/>
    <tableColumn id="5" xr3:uid="{F9E69E5D-F110-9B48-9329-9C8765C01A16}" name="High4" dataDxfId="2427"/>
    <tableColumn id="6" xr3:uid="{48A1E920-9742-9B42-B5B4-CE8842722C58}" name="High5" dataDxfId="2426"/>
    <tableColumn id="7" xr3:uid="{0FAA0644-82A0-C647-85BA-148C691889ED}" name="High6" dataDxfId="2425"/>
    <tableColumn id="8" xr3:uid="{E26B2014-11CB-6C43-9007-791975CDE457}" name="High7" dataDxfId="2424"/>
    <tableColumn id="9" xr3:uid="{BB5A97F1-1D0F-3B40-9D75-3BC9680046D9}" name="High8" dataDxfId="2423"/>
    <tableColumn id="10" xr3:uid="{9937F62A-F0DE-504F-9DDF-9B58BBCDF30D}" name="High9" dataDxfId="2422"/>
    <tableColumn id="11" xr3:uid="{29A4776E-C258-E74A-ADF9-5D021108CAC4}" name="High10" dataDxfId="2421"/>
    <tableColumn id="12" xr3:uid="{8849CFF6-7CC5-C142-AF6B-ADEA6C57F16A}" name="High11" dataDxfId="2420"/>
    <tableColumn id="13" xr3:uid="{633224FB-FB56-3346-B3D4-7815BD0EE8D2}" name="High12" dataDxfId="2419"/>
    <tableColumn id="14" xr3:uid="{AE8EB41C-C141-E34D-998C-B0CD93824B2C}" name="High13" dataDxfId="2418"/>
    <tableColumn id="15" xr3:uid="{D5C19F64-CCDC-C14F-9A29-B00650B50A72}" name="High14" dataDxfId="2417"/>
    <tableColumn id="16" xr3:uid="{30340F11-A4CE-D545-A219-2AE57981DD72}" name="High15" dataDxfId="2416"/>
    <tableColumn id="17" xr3:uid="{DC13C9CF-21E4-0341-AC85-77254CBA4C10}" name="High16" dataDxfId="2415"/>
    <tableColumn id="18" xr3:uid="{8B477E38-014E-7349-BDEF-006CC12B5F71}" name="High17" dataDxfId="2414"/>
    <tableColumn id="19" xr3:uid="{244FB7EE-D034-2C4B-855E-A5622CFD9DCC}" name="High18" dataDxfId="2413"/>
    <tableColumn id="20" xr3:uid="{BE6D664C-133B-0D49-9894-15834393E697}" name="High19" dataDxfId="2412"/>
    <tableColumn id="21" xr3:uid="{0D39CB33-A7F6-3446-97CA-74E68796A5EF}" name="High20" dataDxfId="241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10" dataDxfId="2409" tableBorderDxfId="2408" dataCellStyle="Comma">
  <autoFilter ref="AB504:AV598" xr:uid="{2059310D-912B-5146-8786-585E1C6FFCF2}"/>
  <tableColumns count="21">
    <tableColumn id="1" xr3:uid="{C4347E4A-86BC-5043-97CE-45A14B956E41}" name="M_Val0" dataDxfId="2407" dataCellStyle="Comma"/>
    <tableColumn id="2" xr3:uid="{B1FF6CEC-79A5-F849-8927-C7B81EC7DECC}" name="M_Val1" dataDxfId="2406" dataCellStyle="Comma"/>
    <tableColumn id="3" xr3:uid="{A3EF44CD-266F-BE4D-AA64-EC5EB34BABDE}" name="M_Val2" dataDxfId="2405" dataCellStyle="Comma"/>
    <tableColumn id="4" xr3:uid="{33FCDB11-ACFC-144C-96FF-80A724DEA2D2}" name="M_Val3" dataDxfId="2404" dataCellStyle="Comma"/>
    <tableColumn id="5" xr3:uid="{ECF85600-2A51-6B4A-A8AA-85CC4E8C8A69}" name="M_Val4" dataDxfId="2403" dataCellStyle="Comma"/>
    <tableColumn id="6" xr3:uid="{DA6F66BD-BF68-A745-930D-40C93490CE38}" name="M_Val5" dataDxfId="2402" dataCellStyle="Comma"/>
    <tableColumn id="7" xr3:uid="{3825427F-1753-8E4B-9F49-DC786B094ADF}" name="M_Val6" dataDxfId="2401" dataCellStyle="Comma"/>
    <tableColumn id="8" xr3:uid="{DE50C296-7BE6-2344-ADBB-42DDE8201D63}" name="M_Val7" dataDxfId="2400" dataCellStyle="Comma"/>
    <tableColumn id="9" xr3:uid="{6E7F2388-373F-3347-A802-C9769737C04E}" name="M_Val8" dataDxfId="2399" dataCellStyle="Comma"/>
    <tableColumn id="10" xr3:uid="{A785C2B5-06C3-8744-8BCE-7DF4FD77BC91}" name="M_Val9" dataDxfId="2398" dataCellStyle="Comma"/>
    <tableColumn id="11" xr3:uid="{8C7CA10E-47BD-E84A-BD5C-1A0BE803DEC1}" name="M_Val10" dataDxfId="2397" dataCellStyle="Comma"/>
    <tableColumn id="12" xr3:uid="{1E4D3DAF-E7FF-874F-9172-DEC7EE7EAB78}" name="M_Val11" dataDxfId="2396" dataCellStyle="Comma"/>
    <tableColumn id="13" xr3:uid="{92B8A6BB-8666-2348-B666-A1B1F7225487}" name="M_Val12" dataDxfId="2395" dataCellStyle="Comma"/>
    <tableColumn id="14" xr3:uid="{2BB9A822-DD2E-954F-B6F7-E6E26EE77E8B}" name="M_Val13" dataDxfId="2394" dataCellStyle="Comma"/>
    <tableColumn id="15" xr3:uid="{155B15D5-436D-664E-8647-3917F45F9F75}" name="M_Val14" dataDxfId="2393" dataCellStyle="Comma"/>
    <tableColumn id="16" xr3:uid="{2317AB74-4C6E-FC4A-8D59-B4EA62202F18}" name="M_Val15" dataDxfId="2392" dataCellStyle="Comma"/>
    <tableColumn id="17" xr3:uid="{FA0A4F43-775A-E940-A9B0-C394FF2B3489}" name="M_Val16" dataDxfId="2391" dataCellStyle="Comma"/>
    <tableColumn id="18" xr3:uid="{914B7672-9B72-E249-BB28-1D744A2474DA}" name="M_Val17" dataDxfId="2390" dataCellStyle="Comma"/>
    <tableColumn id="19" xr3:uid="{FEAB0C78-F15D-434B-A119-CE6A5430E083}" name="M_Val18" dataDxfId="2389" dataCellStyle="Comma"/>
    <tableColumn id="20" xr3:uid="{7060E8A2-F8A5-8741-9D69-3F1A5F8B6BF0}" name="M_Val19" dataDxfId="2388" dataCellStyle="Comma"/>
    <tableColumn id="21" xr3:uid="{FA8ABABE-3921-3E45-831B-C8F137C9C488}" name="M_Val20" dataDxfId="238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386" dataDxfId="2385" tableBorderDxfId="2384">
  <autoFilter ref="F504:Z598" xr:uid="{36432D48-615D-1C48-A920-5E65086EABA8}"/>
  <tableColumns count="21">
    <tableColumn id="1" xr3:uid="{6AB3A1F6-3AFC-8A45-971A-236D7AC7AB72}" name="PE0" dataDxfId="2383"/>
    <tableColumn id="2" xr3:uid="{C1F36B94-A69D-D048-9AB8-5EA83B7C9B99}" name="PE1" dataDxfId="2382"/>
    <tableColumn id="3" xr3:uid="{63661DA8-D795-6C49-A71B-41F019D21DDC}" name="PE2" dataDxfId="2381"/>
    <tableColumn id="4" xr3:uid="{D5A54A31-FEF4-BA4E-9B48-3EEF87AD1F14}" name="PE3" dataDxfId="2380"/>
    <tableColumn id="5" xr3:uid="{B65A08F3-5A74-754D-A3C6-8CDB9EF676C2}" name="PE4" dataDxfId="2379"/>
    <tableColumn id="6" xr3:uid="{7D4695C5-0843-EF45-A864-194AC78A2520}" name="PE5" dataDxfId="2378"/>
    <tableColumn id="7" xr3:uid="{35BB55FC-B3A0-964C-AEA0-9AA1136AF415}" name="PE6" dataDxfId="2377"/>
    <tableColumn id="8" xr3:uid="{1D2CBFF1-8B15-A84D-81C4-481E8A48D1DC}" name="PE7" dataDxfId="2376"/>
    <tableColumn id="9" xr3:uid="{A828A73C-F96B-5249-93ED-64ED903CA99D}" name="PE8" dataDxfId="2375"/>
    <tableColumn id="10" xr3:uid="{8870CD52-48DF-8841-998E-4E415A2751E6}" name="PE9" dataDxfId="2374"/>
    <tableColumn id="11" xr3:uid="{93CEE660-F7F2-1242-8DB3-9770EDC47297}" name="PE10" dataDxfId="2373"/>
    <tableColumn id="12" xr3:uid="{7271FB2D-1E6B-FE46-89C9-E6D759BE0E9C}" name="PE11" dataDxfId="2372"/>
    <tableColumn id="13" xr3:uid="{F5323927-9C3C-1445-8A2F-D173633B0D4C}" name="PE12" dataDxfId="2371"/>
    <tableColumn id="14" xr3:uid="{F94286AA-0AD1-F44B-A550-F7D2B757B377}" name="PE13" dataDxfId="2370"/>
    <tableColumn id="15" xr3:uid="{3E87B3EC-0708-2840-B184-905CF0494D38}" name="PE14" dataDxfId="2369"/>
    <tableColumn id="16" xr3:uid="{937EBC93-3781-5349-A2AC-956E22021E08}" name="PE15" dataDxfId="2368"/>
    <tableColumn id="17" xr3:uid="{638B58F0-3B34-CD4E-B605-167004C8346E}" name="PE16" dataDxfId="2367"/>
    <tableColumn id="18" xr3:uid="{E1AD3DD0-1478-964D-8994-FF3EA6BE4C0F}" name="PE17" dataDxfId="2366"/>
    <tableColumn id="19" xr3:uid="{9E8E221E-BFCA-BA44-9CF6-97E06234E423}" name="PE18" dataDxfId="2365"/>
    <tableColumn id="20" xr3:uid="{C4FBB163-9E7D-C545-98D8-5012D5EBEE1F}" name="PE19" dataDxfId="2364"/>
    <tableColumn id="21" xr3:uid="{EB5F2E20-930D-4648-8D82-E36CBF64AD58}" name="PE20" dataDxfId="236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62" dataDxfId="2361" tableBorderDxfId="2360" dataCellStyle="Comma">
  <autoFilter ref="AB604:AV698" xr:uid="{3609B58A-1615-B540-A3F4-6B519A654E28}"/>
  <tableColumns count="21">
    <tableColumn id="1" xr3:uid="{A0B04F0D-EC99-2549-B887-D57FA0D5E86F}" name="Gravity0" dataDxfId="2359" dataCellStyle="Percent"/>
    <tableColumn id="2" xr3:uid="{8D4C8AFE-708C-3547-976C-9A96BCBB8AFE}" name="Gravity1" dataDxfId="2358" dataCellStyle="Percent"/>
    <tableColumn id="3" xr3:uid="{7DFEBD87-178F-F64B-84A1-99F2119E39BA}" name="Gravity2" dataDxfId="2357" dataCellStyle="Percent"/>
    <tableColumn id="4" xr3:uid="{1D750563-D4F9-1A4D-A506-0AFE6C2D1D11}" name="Gravity3" dataDxfId="2356" dataCellStyle="Percent"/>
    <tableColumn id="5" xr3:uid="{0C9EE0C1-A0F5-A74E-8AB9-1AFD9B1C16DB}" name="Gravity4" dataDxfId="2355" dataCellStyle="Percent"/>
    <tableColumn id="6" xr3:uid="{9B19E6A0-AB29-C740-A355-E5A5CAD21CAB}" name="Gravity5" dataDxfId="2354" dataCellStyle="Percent"/>
    <tableColumn id="7" xr3:uid="{C28A85C1-D8C2-CA41-8F08-02E8F8024840}" name="Gravity6" dataDxfId="2353" dataCellStyle="Percent"/>
    <tableColumn id="8" xr3:uid="{357255E7-2CA0-0A43-9C09-B4D68962DF89}" name="Gravity7" dataDxfId="2352" dataCellStyle="Percent"/>
    <tableColumn id="9" xr3:uid="{C55B8262-AD8C-5141-BB34-1E2036804933}" name="Gravity8" dataDxfId="2351" dataCellStyle="Percent"/>
    <tableColumn id="10" xr3:uid="{298C0C4D-7682-4740-A283-7CAC9012D782}" name="Gravity9" dataDxfId="2350" dataCellStyle="Percent"/>
    <tableColumn id="11" xr3:uid="{B2D984E2-F2D7-B140-A5DB-627777F1DCD8}" name="Gravity10" dataDxfId="2349" dataCellStyle="Percent"/>
    <tableColumn id="12" xr3:uid="{9BB8DE4A-EB39-9548-A681-07940F2F801B}" name="Gravity11" dataDxfId="2348" dataCellStyle="Percent"/>
    <tableColumn id="13" xr3:uid="{76A3DECB-D825-C34E-8854-40CC9AFC168B}" name="Gravity12" dataDxfId="2347" dataCellStyle="Percent"/>
    <tableColumn id="14" xr3:uid="{AB485574-61F2-474C-89CB-FD8087756B5F}" name="Gravity13" dataDxfId="2346" dataCellStyle="Percent"/>
    <tableColumn id="15" xr3:uid="{438E0A68-B270-F947-817C-A58D392C7C30}" name="Gravity14" dataDxfId="2345" dataCellStyle="Percent"/>
    <tableColumn id="16" xr3:uid="{2B03B8A5-CB2F-C04E-B9AF-40D10250B197}" name="Gravity15" dataDxfId="2344" dataCellStyle="Percent"/>
    <tableColumn id="17" xr3:uid="{8387BA87-3B28-BE46-AD30-96A306038D1F}" name="Gravity16" dataDxfId="2343" dataCellStyle="Percent"/>
    <tableColumn id="18" xr3:uid="{F7904E93-BC46-0140-B3D6-49F92A3C3B5D}" name="Gravity17" dataDxfId="2342" dataCellStyle="Percent"/>
    <tableColumn id="19" xr3:uid="{672772F2-D35C-FE45-9C9E-A94C236B7B44}" name="Gravity18" dataDxfId="2341" dataCellStyle="Percent"/>
    <tableColumn id="20" xr3:uid="{208290DE-04CD-8449-90BB-B19A0603A99B}" name="Gravity19" dataDxfId="2340" dataCellStyle="Percent"/>
    <tableColumn id="21" xr3:uid="{D3DBFB11-389F-5340-8DDD-4E481D36F033}" name="Gravity20" dataDxfId="233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38" dataDxfId="2337" tableBorderDxfId="2336">
  <autoFilter ref="F604:Z698" xr:uid="{4DCF9413-627E-A447-A977-39461A12B0A3}"/>
  <tableColumns count="21">
    <tableColumn id="1" xr3:uid="{6C815857-AD36-514F-8897-BFA64C5DF519}" name="Change0" dataDxfId="2335"/>
    <tableColumn id="2" xr3:uid="{D38C3A03-2443-AD4B-AABC-4865D01815F2}" name="Change1" dataDxfId="2334"/>
    <tableColumn id="3" xr3:uid="{F6A50E01-2E70-8A44-A203-8594C9A07E19}" name="Change2" dataDxfId="2333"/>
    <tableColumn id="4" xr3:uid="{706AC2D7-888F-424A-A18C-849A98565C59}" name="Change3" dataDxfId="2332"/>
    <tableColumn id="5" xr3:uid="{560434CF-FA00-224C-B78C-55A65C6677B2}" name="Change4" dataDxfId="2331"/>
    <tableColumn id="6" xr3:uid="{9BB8986A-CB07-764B-974F-0200B964D48F}" name="Change5" dataDxfId="2330"/>
    <tableColumn id="7" xr3:uid="{A2BACA41-D491-AB49-BEA6-9772D4BD92BB}" name="Change6" dataDxfId="2329"/>
    <tableColumn id="8" xr3:uid="{B018DF0E-1556-A640-A7CD-653956B49AF4}" name="Change7" dataDxfId="2328"/>
    <tableColumn id="9" xr3:uid="{0589AC3B-0F4E-9B4F-BB47-CE809EB1DBF8}" name="Change8" dataDxfId="2327"/>
    <tableColumn id="10" xr3:uid="{43E47C43-9E48-B94B-A809-58536D8414BF}" name="Change9" dataDxfId="2326"/>
    <tableColumn id="11" xr3:uid="{A0D7F08A-CDD4-414F-9F26-553F599CBBF1}" name="Change10" dataDxfId="2325"/>
    <tableColumn id="12" xr3:uid="{488D9FD5-AC07-7A41-BD58-03C91357C94E}" name="Change11" dataDxfId="2324"/>
    <tableColumn id="13" xr3:uid="{EE9196AD-D051-6B4A-A202-A7144C6DFD66}" name="Change12" dataDxfId="2323"/>
    <tableColumn id="14" xr3:uid="{98450C78-3B61-1240-A662-7D5D61F30136}" name="Change13" dataDxfId="2322"/>
    <tableColumn id="15" xr3:uid="{EFA82915-6798-D846-878D-4446ABAE0933}" name="Change14" dataDxfId="2321"/>
    <tableColumn id="16" xr3:uid="{1CB917FE-8C88-4342-92DA-8B016542CFD2}" name="Change15" dataDxfId="2320"/>
    <tableColumn id="17" xr3:uid="{42105FB5-22CD-9342-866F-5BA47B717B37}" name="Change16" dataDxfId="2319"/>
    <tableColumn id="18" xr3:uid="{9FDA4AD2-5AA7-AC4E-BDB4-8AA2B4A4A42A}" name="Change17" dataDxfId="2318"/>
    <tableColumn id="19" xr3:uid="{6F1473B0-92BE-D749-A143-3A92C357032F}" name="Change18" dataDxfId="2317"/>
    <tableColumn id="20" xr3:uid="{25B55CEC-14E6-7E42-9FB8-CC16C431ABE7}" name="Change19" dataDxfId="2316"/>
    <tableColumn id="21" xr3:uid="{C59011F9-9453-234D-A348-16CE831E6078}" name="Change20" dataDxfId="231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14" dataDxfId="2313" tableBorderDxfId="2312" dataCellStyle="Comma">
  <autoFilter ref="AB703:AV797" xr:uid="{A5611BBA-DEBB-A742-816E-7FD6E0ADDC18}"/>
  <tableColumns count="21">
    <tableColumn id="1" xr3:uid="{9E345079-25ED-314A-BD31-D6BE104235D5}" name="Price_R_0" dataDxfId="2311" dataCellStyle="Comma"/>
    <tableColumn id="2" xr3:uid="{814A6345-1ED8-FE41-9109-8CD80D16593D}" name="Price_R_1" dataDxfId="2310" dataCellStyle="Comma"/>
    <tableColumn id="3" xr3:uid="{63A5BA5B-6637-7146-BCAB-AF0A6BD84542}" name="Price_R_2" dataDxfId="2309" dataCellStyle="Comma"/>
    <tableColumn id="4" xr3:uid="{C60CA0E4-422E-874F-B78B-A323C8C52AD9}" name="Price_R_3" dataDxfId="2308" dataCellStyle="Comma"/>
    <tableColumn id="5" xr3:uid="{7482E8DF-E6B5-9E41-8E12-A7E87DCC4331}" name="Price_R_4" dataDxfId="2307" dataCellStyle="Comma"/>
    <tableColumn id="6" xr3:uid="{D2D2A512-B5A8-7944-8FDD-4BCD959F2381}" name="Price_R_5" dataDxfId="2306" dataCellStyle="Comma"/>
    <tableColumn id="7" xr3:uid="{4F82805C-CC22-E74C-B851-5D6D0D84B7DC}" name="Price_R_6" dataDxfId="2305" dataCellStyle="Comma"/>
    <tableColumn id="8" xr3:uid="{BE4CDE83-DB86-9A48-85B9-E2A9B9E30C11}" name="Price_R_7" dataDxfId="2304" dataCellStyle="Comma"/>
    <tableColumn id="9" xr3:uid="{6C1BF96F-8EDB-6946-A2F3-C983E0C0C055}" name="Price_R_8" dataDxfId="2303" dataCellStyle="Comma"/>
    <tableColumn id="10" xr3:uid="{DA1EB53F-7FEE-8641-A52B-536EA3AB1DAC}" name="Price_R_9" dataDxfId="2302" dataCellStyle="Comma"/>
    <tableColumn id="11" xr3:uid="{A78F983A-0F51-D747-8420-29D3EA740487}" name="Price_R_10" dataDxfId="2301" dataCellStyle="Comma"/>
    <tableColumn id="12" xr3:uid="{6EE0B1E4-6446-F242-8E37-5BC854705E77}" name="Price_R_11" dataDxfId="2300" dataCellStyle="Comma"/>
    <tableColumn id="13" xr3:uid="{B85618C8-1B52-2A43-94AF-62D2CF27CAA3}" name="Price_R_12" dataDxfId="2299" dataCellStyle="Comma"/>
    <tableColumn id="14" xr3:uid="{6F404DC1-D1DD-7741-9D45-4928A4B19C45}" name="Price_R_13" dataDxfId="2298" dataCellStyle="Comma"/>
    <tableColumn id="15" xr3:uid="{B9BCB79E-3DF6-A845-AA0F-D76186F6F272}" name="Price_R_14" dataDxfId="2297" dataCellStyle="Comma"/>
    <tableColumn id="16" xr3:uid="{A3C7848D-67D3-FF45-8B42-6D9A6E4C865F}" name="Price_R_15" dataDxfId="2296" dataCellStyle="Comma"/>
    <tableColumn id="17" xr3:uid="{6385658D-D996-6E49-96D3-AC27BD18C68D}" name="Price_R_16" dataDxfId="2295" dataCellStyle="Comma"/>
    <tableColumn id="18" xr3:uid="{6755F4F7-AB0E-1140-BD86-0CEB49445E3C}" name="Price_R_17" dataDxfId="2294" dataCellStyle="Comma"/>
    <tableColumn id="19" xr3:uid="{5F2B6E7B-CF5C-004B-BBB8-34AC8C1B33C1}" name="Price_R_18" dataDxfId="2293" dataCellStyle="Comma"/>
    <tableColumn id="20" xr3:uid="{5BBB4D31-9AF3-3C40-A301-74F15E49AF4B}" name="Price_R_19" dataDxfId="2292" dataCellStyle="Comma"/>
    <tableColumn id="21" xr3:uid="{F53B7264-073C-B04C-AB0C-D9A23BDED3A3}" name="Price_R_20" dataDxfId="229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290" dataDxfId="2289" tableBorderDxfId="2288" dataCellStyle="Percent">
  <autoFilter ref="F703:Z797" xr:uid="{217639E3-C9A3-E441-ACF7-1F3F452949DB}"/>
  <tableColumns count="21">
    <tableColumn id="1" xr3:uid="{07F85B24-C0AB-654A-99EE-FF2231A0E5E9}" name="Change%0" dataDxfId="2287" totalsRowDxfId="2286" dataCellStyle="Percent"/>
    <tableColumn id="2" xr3:uid="{6277BEEF-ED87-8F44-856D-A182DAC7D192}" name="Change%1" dataDxfId="2285" totalsRowDxfId="2284" dataCellStyle="Percent"/>
    <tableColumn id="3" xr3:uid="{81173F8B-762A-6F48-A5CE-466659ED4610}" name="Change%2" dataDxfId="2283" totalsRowDxfId="2282" dataCellStyle="Percent"/>
    <tableColumn id="4" xr3:uid="{5FAB3EA3-5005-BF42-8BD0-60FA27AB26A0}" name="Change%3" dataDxfId="2281" totalsRowDxfId="2280" dataCellStyle="Percent"/>
    <tableColumn id="5" xr3:uid="{263B0787-0B05-754C-BD4B-2E271E2ECCC7}" name="Change%4" dataDxfId="2279" totalsRowDxfId="2278" dataCellStyle="Percent"/>
    <tableColumn id="6" xr3:uid="{30CF5F57-193D-0442-A594-4E8DE2F03ADB}" name="Change%5" dataDxfId="2277" totalsRowDxfId="2276" dataCellStyle="Percent"/>
    <tableColumn id="7" xr3:uid="{4B8BFE6B-2BED-4D42-AEC9-87DFA508274E}" name="Change%6" dataDxfId="2275" totalsRowDxfId="2274" dataCellStyle="Percent"/>
    <tableColumn id="8" xr3:uid="{07CEB146-02E3-E541-9100-0CB50F4E0739}" name="Change%7" dataDxfId="2273" totalsRowDxfId="2272" dataCellStyle="Percent"/>
    <tableColumn id="9" xr3:uid="{4CDDB7A4-680A-2340-B992-0DC78E17A997}" name="Change%8" dataDxfId="2271" totalsRowDxfId="2270" dataCellStyle="Percent"/>
    <tableColumn id="10" xr3:uid="{9AA5B541-EC12-DE45-B4D3-4EE2138C5D3C}" name="Change%9" dataDxfId="2269" totalsRowDxfId="2268" dataCellStyle="Percent"/>
    <tableColumn id="11" xr3:uid="{DA0F2F38-7866-354A-AF05-3F766DEF3C41}" name="Change%10" dataDxfId="2267" totalsRowDxfId="2266" dataCellStyle="Percent"/>
    <tableColumn id="12" xr3:uid="{ACEEC37C-251A-744A-A91C-58964EEB2458}" name="Change%11" dataDxfId="2265" totalsRowDxfId="2264" dataCellStyle="Percent"/>
    <tableColumn id="13" xr3:uid="{64EA9527-9991-AA4B-B95F-7836E1D6B699}" name="Change%12" dataDxfId="2263" totalsRowDxfId="2262" dataCellStyle="Percent"/>
    <tableColumn id="14" xr3:uid="{BF77A13F-B55D-E945-85FD-1B2DEE78796D}" name="Change%13" dataDxfId="2261" totalsRowDxfId="2260" dataCellStyle="Percent"/>
    <tableColumn id="15" xr3:uid="{37253EE7-EBB5-FB4C-AAD0-28CC218B6D0F}" name="Change%14" dataDxfId="2259" totalsRowDxfId="2258" dataCellStyle="Percent"/>
    <tableColumn id="16" xr3:uid="{67C0BADF-9353-854D-BCD6-DB9E43EE9E3E}" name="Change%15" dataDxfId="2257" totalsRowDxfId="2256" dataCellStyle="Percent"/>
    <tableColumn id="17" xr3:uid="{8C76684D-54C9-0441-8A71-E4B91154A635}" name="Change%16" dataDxfId="2255" totalsRowDxfId="2254" dataCellStyle="Percent"/>
    <tableColumn id="18" xr3:uid="{09F452FF-F0DF-F44D-8DCF-4990F34FA347}" name="Change%17" dataDxfId="2253" totalsRowDxfId="2252" dataCellStyle="Percent"/>
    <tableColumn id="19" xr3:uid="{0F279240-DB4F-A344-BDFA-918E88A0673B}" name="Change%18" dataDxfId="2251" totalsRowDxfId="2250" dataCellStyle="Percent"/>
    <tableColumn id="20" xr3:uid="{1D897499-2474-6042-AF31-D19B07F64D1C}" name="Change%19" dataDxfId="2249" totalsRowDxfId="2248" dataCellStyle="Percent"/>
    <tableColumn id="21" xr3:uid="{2E614D1E-AA18-8C46-95FC-92384A1FC5E5}" name="Change%20" dataDxfId="2247" totalsRowDxfId="224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45" dataDxfId="2244" tableBorderDxfId="2243" dataCellStyle="Comma">
  <autoFilter ref="AB803:AV897" xr:uid="{1DC97B12-567A-5F43-B215-F635C4FFAF56}"/>
  <tableColumns count="21">
    <tableColumn id="1" xr3:uid="{727EC8D5-2244-CA4D-B85E-1371B26803A7}" name="CH-R-0" dataDxfId="2242" dataCellStyle="Comma"/>
    <tableColumn id="2" xr3:uid="{1D4D9313-D8EA-EE45-834B-B8110298E57E}" name="CH-R-1" dataDxfId="2241" dataCellStyle="Comma"/>
    <tableColumn id="3" xr3:uid="{BFBBF7D3-3ACF-E04D-8ACF-5FC756167FF7}" name="CH-R-2" dataDxfId="2240" dataCellStyle="Comma"/>
    <tableColumn id="4" xr3:uid="{8AB840F2-736F-CA41-A42D-74A8241D8796}" name="CH-R-3" dataDxfId="2239" dataCellStyle="Comma"/>
    <tableColumn id="5" xr3:uid="{5D1E54CB-AE29-0144-B1FC-B3B15533987B}" name="CH-R-4" dataDxfId="2238" dataCellStyle="Comma"/>
    <tableColumn id="6" xr3:uid="{BA1BC152-62C6-244E-85BC-7E4C47ECE56F}" name="CH-R-5" dataDxfId="2237" dataCellStyle="Comma"/>
    <tableColumn id="7" xr3:uid="{0FB3DBC1-359D-0D4A-A6BD-6D34EB9BE4B5}" name="CH-R-6" dataDxfId="2236" dataCellStyle="Comma"/>
    <tableColumn id="8" xr3:uid="{C5DF6FC7-DD4A-6B48-936C-A6C0052CA0E2}" name="CH-R-7" dataDxfId="2235" dataCellStyle="Comma"/>
    <tableColumn id="9" xr3:uid="{294D38E4-945E-E243-AF30-979EE13B6E0E}" name="CH-R-8" dataDxfId="2234" dataCellStyle="Comma"/>
    <tableColumn id="10" xr3:uid="{1003CB93-FC9A-3047-A4AD-4014B5E1BDB1}" name="CH-R-9" dataDxfId="2233" dataCellStyle="Comma"/>
    <tableColumn id="11" xr3:uid="{59E8ED13-A37B-A548-9E5F-0C631205C7A6}" name="CH-R-10" dataDxfId="2232" dataCellStyle="Comma"/>
    <tableColumn id="12" xr3:uid="{F8B58B23-BC44-2C4F-94DD-52848147470C}" name="CH-R-11" dataDxfId="2231" dataCellStyle="Comma"/>
    <tableColumn id="13" xr3:uid="{6587F87F-94FF-3948-A1ED-50697B285DD9}" name="CH-R-12" dataDxfId="2230" dataCellStyle="Comma"/>
    <tableColumn id="14" xr3:uid="{5F72F02E-D1EB-0A48-AC14-631092D2AB8F}" name="CH-R-13" dataDxfId="2229" dataCellStyle="Comma"/>
    <tableColumn id="15" xr3:uid="{40CDB037-F34C-2C46-A44D-4EEB99A4F48A}" name="CH-R-14" dataDxfId="2228" dataCellStyle="Comma"/>
    <tableColumn id="16" xr3:uid="{36A7D946-56B9-424A-AC3F-16C20613B32D}" name="CH-R-15" dataDxfId="2227" dataCellStyle="Comma"/>
    <tableColumn id="17" xr3:uid="{98778DB8-B67D-2440-B38A-5470013D7E4A}" name="CH-R-16" dataDxfId="2226" dataCellStyle="Comma"/>
    <tableColumn id="18" xr3:uid="{4B26C77F-CDA1-384A-A838-99098596B1CA}" name="CH-R-17" dataDxfId="2225" dataCellStyle="Comma"/>
    <tableColumn id="19" xr3:uid="{D80360C1-FD36-B649-BA53-444CF7B6B399}" name="CH-R-18" dataDxfId="2224" dataCellStyle="Comma"/>
    <tableColumn id="20" xr3:uid="{70AEF62D-042F-584F-A3F6-7A20A448F2FA}" name="CH-R-19" dataDxfId="2223" dataCellStyle="Comma"/>
    <tableColumn id="21" xr3:uid="{0399200B-8517-864B-BB3B-55D173BBA511}" name="CH-R-20" dataDxfId="222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21" dataDxfId="2220" tableBorderDxfId="2219">
  <autoFilter ref="F803:Z896" xr:uid="{DE443FDB-A09F-D546-9DCC-6F79C8591A3A}"/>
  <tableColumns count="21">
    <tableColumn id="1" xr3:uid="{66DF501E-0E04-284D-AE56-250C1181933A}" name="LOW520" dataDxfId="2218"/>
    <tableColumn id="2" xr3:uid="{51019CAA-7B7B-8843-BBCF-5E5CF4955750}" name="LOW521" dataDxfId="2217"/>
    <tableColumn id="3" xr3:uid="{2F991A5F-695C-964A-B29C-4DD5E41602D3}" name="LOW522" dataDxfId="2216"/>
    <tableColumn id="4" xr3:uid="{AB3D5084-566B-2B4F-9C79-27669957BB9F}" name="LOW523" dataDxfId="2215"/>
    <tableColumn id="5" xr3:uid="{6C53359E-20BC-C146-9D57-DC52E93E1D0E}" name="LOW524" dataDxfId="2214"/>
    <tableColumn id="6" xr3:uid="{70979044-9A70-5441-A295-C2836D7D4EED}" name="LOW525" dataDxfId="2213"/>
    <tableColumn id="7" xr3:uid="{80D3193C-0073-D342-AB91-282BC9934C5D}" name="LOW526" dataDxfId="2212"/>
    <tableColumn id="8" xr3:uid="{1F04BB25-949C-A647-B2F5-3D7AAD3EE4C5}" name="LOW527" dataDxfId="2211"/>
    <tableColumn id="9" xr3:uid="{9BA5549A-8A81-D144-8C7C-F545ADD31E5A}" name="LOW528" dataDxfId="2210"/>
    <tableColumn id="10" xr3:uid="{8500AE99-78F5-2544-959C-444C1B16D49C}" name="LOW529" dataDxfId="2209"/>
    <tableColumn id="11" xr3:uid="{3DB600FC-DD7E-DA49-BBB5-1B3A8D390CA1}" name="LOW530" dataDxfId="2208"/>
    <tableColumn id="12" xr3:uid="{B776E02F-5049-7C41-9287-FC66BD83FD7C}" name="LOW531" dataDxfId="2207"/>
    <tableColumn id="13" xr3:uid="{2A31C167-B981-AA42-AD62-98EB96BEFE66}" name="LOW532" dataDxfId="2206"/>
    <tableColumn id="14" xr3:uid="{D9B09FFF-8924-C041-A13C-2CF52F057E93}" name="LOW533" dataDxfId="2205"/>
    <tableColumn id="15" xr3:uid="{C89D40B5-88F9-7F40-9C11-C00C2540EF0B}" name="LOW534" dataDxfId="2204"/>
    <tableColumn id="16" xr3:uid="{5B579388-FC67-8E4A-91A7-9373EE02FD6D}" name="LOW535" dataDxfId="2203"/>
    <tableColumn id="17" xr3:uid="{BA4BE745-0FD6-B44F-B87F-E6D03EF83F74}" name="LOW536" dataDxfId="2202"/>
    <tableColumn id="18" xr3:uid="{4F99BD31-6BBB-4C4E-AF0E-C5201824FB40}" name="LOW537" dataDxfId="2201"/>
    <tableColumn id="19" xr3:uid="{027111A8-F0C3-2E49-B4C8-66CA04669A75}" name="LOW538" dataDxfId="2200"/>
    <tableColumn id="20" xr3:uid="{898C76AA-1E86-5248-9312-D2A982DF2BC1}" name="LOW539" dataDxfId="2199"/>
    <tableColumn id="21" xr3:uid="{4ED07DB6-2955-E747-8AD4-966FA8287E02}" name="LOW540" dataDxfId="219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197" dataDxfId="2196" tableBorderDxfId="2195">
  <autoFilter ref="F902:Z996" xr:uid="{A1989BE9-E4C8-204A-8EC4-E515463D6985}"/>
  <tableColumns count="21">
    <tableColumn id="1" xr3:uid="{CCDAF27B-3366-AB41-9C05-67D8AB44D4C7}" name="HIGH520" dataDxfId="2194" dataCellStyle="Comma"/>
    <tableColumn id="2" xr3:uid="{66800E83-F458-F641-A4A6-8E929A7BC7C5}" name="HIGH521" dataDxfId="2193"/>
    <tableColumn id="3" xr3:uid="{50281050-1392-2349-A75F-437D63C0923A}" name="HIGH522" dataDxfId="2192"/>
    <tableColumn id="4" xr3:uid="{02987E0E-C4C8-F64F-A903-54444C25D7A5}" name="HIGH523" dataDxfId="2191"/>
    <tableColumn id="5" xr3:uid="{1C8321CF-3789-B942-8086-84D8FC5EF89B}" name="HIGH524" dataDxfId="2190"/>
    <tableColumn id="6" xr3:uid="{8EF5F9E0-0987-2244-862B-B4A06B974900}" name="HIGH525" dataDxfId="2189"/>
    <tableColumn id="7" xr3:uid="{74B46C00-40B4-3A45-8BC9-0EC98E687645}" name="HIGH526" dataDxfId="2188"/>
    <tableColumn id="8" xr3:uid="{13302214-C76A-9E43-852A-951084F77FEA}" name="HIGH527" dataDxfId="2187"/>
    <tableColumn id="9" xr3:uid="{36EAB480-A1A3-084D-BFBC-05E7EE00265E}" name="HIGH528" dataDxfId="2186"/>
    <tableColumn id="10" xr3:uid="{F3503877-08D5-6948-B0C1-AC821D9C45C5}" name="HIGH529" dataDxfId="2185"/>
    <tableColumn id="11" xr3:uid="{32C868C5-378D-FF40-812E-1D62D5C262B5}" name="HIGH530" dataDxfId="2184"/>
    <tableColumn id="12" xr3:uid="{974976C8-811B-B542-9ACC-A07556104D5D}" name="HIGH531" dataDxfId="2183"/>
    <tableColumn id="13" xr3:uid="{8EFA0DD6-DC2A-FB4D-BFF3-7DD01DC6CD24}" name="HIGH532" dataDxfId="2182"/>
    <tableColumn id="14" xr3:uid="{A6F85B1E-9147-4F47-A979-FBAEA4A15F17}" name="HIGH533" dataDxfId="2181"/>
    <tableColumn id="15" xr3:uid="{F3D09233-8B42-B448-BF0C-B6AB160E9B03}" name="HIGH534" dataDxfId="2180"/>
    <tableColumn id="16" xr3:uid="{FEB17489-56E2-BF43-A14A-29AF2FB81F6F}" name="HIGH535" dataDxfId="2179"/>
    <tableColumn id="17" xr3:uid="{B41E1FB1-F71C-2348-8B12-860AF115417C}" name="HIGH536" dataDxfId="2178"/>
    <tableColumn id="18" xr3:uid="{C1BB1E6B-5675-A346-A11C-A87C031AD1A5}" name="HIGH537" dataDxfId="2177"/>
    <tableColumn id="19" xr3:uid="{86E6ADFF-340C-9146-9B5E-4E9C76C88F59}" name="HIGH538" dataDxfId="2176"/>
    <tableColumn id="20" xr3:uid="{EFB55E1D-EB5D-FD4F-ABE5-FB8031ED630E}" name="HIGH539" dataDxfId="2175"/>
    <tableColumn id="21" xr3:uid="{5617BEFC-D126-7146-A1A8-E3206935A4F5}" name="HIGH540" dataDxfId="217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73" dataDxfId="2172" tableBorderDxfId="2171">
  <autoFilter ref="F1001:Z1095" xr:uid="{8DAF20EC-FF35-DE4F-9098-7E9343F0641B}"/>
  <tableColumns count="21">
    <tableColumn id="1" xr3:uid="{B3E72227-C152-6545-AAB1-0674C78DD4CA}" name="Volume0" dataDxfId="2170"/>
    <tableColumn id="2" xr3:uid="{44BDEDA8-E930-DC4B-82C0-675E1102E708}" name="Volume1" dataDxfId="2169"/>
    <tableColumn id="3" xr3:uid="{2B2A1DCE-B9EC-3F43-BD26-58D797066ACD}" name="Volume2" dataDxfId="2168"/>
    <tableColumn id="4" xr3:uid="{DFE41D08-A256-C94D-B744-ECF9E816875C}" name="Volume3" dataDxfId="2167"/>
    <tableColumn id="5" xr3:uid="{C0DF0F2F-58F0-714A-9FF4-A8682A1F3C0B}" name="Volume4" dataDxfId="2166"/>
    <tableColumn id="6" xr3:uid="{6173CC3E-D986-EC43-984F-D946E06D5B94}" name="Volume5" dataDxfId="2165"/>
    <tableColumn id="7" xr3:uid="{114AAB9D-4B2B-A647-9313-BCBA903A3513}" name="Volume6" dataDxfId="2164"/>
    <tableColumn id="8" xr3:uid="{53EFA4DE-9A07-FE47-A251-BB8D255E4EB8}" name="Volume7" dataDxfId="2163"/>
    <tableColumn id="9" xr3:uid="{18C94A55-2F25-084A-9640-943067E91284}" name="Volume8" dataDxfId="2162"/>
    <tableColumn id="10" xr3:uid="{836BAD23-7619-4645-8764-EB77B1427659}" name="Volume9" dataDxfId="2161"/>
    <tableColumn id="11" xr3:uid="{E4A6B4E0-74F0-8D4B-96CF-D56C7DD8F08A}" name="Volume10" dataDxfId="2160"/>
    <tableColumn id="12" xr3:uid="{C1A9A2E3-93CC-3041-9EC2-31623DCABB6C}" name="Volume11" dataDxfId="2159"/>
    <tableColumn id="13" xr3:uid="{E0142E08-C564-E443-9FC7-0607E2316E25}" name="Volume12" dataDxfId="2158"/>
    <tableColumn id="14" xr3:uid="{8D53300E-D5DB-7B42-8845-1B0A2E494262}" name="Volume13" dataDxfId="2157"/>
    <tableColumn id="15" xr3:uid="{9DFECEBD-3B06-3E43-AF7E-8644958914AE}" name="Volume14" dataDxfId="2156"/>
    <tableColumn id="16" xr3:uid="{DC69221A-F447-8A42-A5D4-462EE430A9BC}" name="Volume15" dataDxfId="2155"/>
    <tableColumn id="17" xr3:uid="{86A2E9AF-0E5A-0F4A-B409-7F6E53DA4CCF}" name="Volume16" dataDxfId="2154"/>
    <tableColumn id="18" xr3:uid="{746B717B-21BA-4346-96B2-7048F7EA0275}" name="Volume17" dataDxfId="2153"/>
    <tableColumn id="19" xr3:uid="{F6963C48-F97C-6D47-BE9D-5BB0B53684CD}" name="Volume18" dataDxfId="2152"/>
    <tableColumn id="20" xr3:uid="{B44B7DF5-2539-D747-8014-370786A69140}" name="Volume19" dataDxfId="2151"/>
    <tableColumn id="21" xr3:uid="{CD202E5D-BEC6-DC45-83A1-369B18AD153F}" name="Volume20" dataDxfId="215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49" dataDxfId="2148" tableBorderDxfId="2147" dataCellStyle="Comma">
  <autoFilter ref="F1100:Z1194" xr:uid="{3EE0B227-8581-DE42-9CB7-10D8CA661FF2}"/>
  <tableColumns count="21">
    <tableColumn id="1" xr3:uid="{C85E8DCA-5245-5048-8F18-181D1CC88078}" name="VolumeAV0" dataDxfId="2146" dataCellStyle="Comma"/>
    <tableColumn id="2" xr3:uid="{552BBB2F-D8F3-9E4F-8187-798F57E91491}" name="VolumeAV1" dataDxfId="2145" dataCellStyle="Comma"/>
    <tableColumn id="3" xr3:uid="{E206F8A1-0B59-7A4C-84A7-52F3D3E42580}" name="VolumeAV2" dataDxfId="2144" dataCellStyle="Comma"/>
    <tableColumn id="4" xr3:uid="{7A6E365D-A83C-BF4C-B6FB-F9815FE99ED7}" name="VolumeAV3" dataDxfId="2143" dataCellStyle="Comma"/>
    <tableColumn id="5" xr3:uid="{AA8BBD46-ADC4-DF45-B244-3F7AAE4826E9}" name="VolumeAV4" dataDxfId="2142" dataCellStyle="Comma"/>
    <tableColumn id="6" xr3:uid="{F877F64B-6397-4642-B5BD-0B3AD6FF5DB0}" name="VolumeAV5" dataDxfId="2141" dataCellStyle="Comma"/>
    <tableColumn id="7" xr3:uid="{55A6F6E2-CA7E-3044-8359-1172E697A40B}" name="VolumeAV6" dataDxfId="2140" dataCellStyle="Comma"/>
    <tableColumn id="8" xr3:uid="{CDA1A456-FD81-0E41-9FC9-B01A1A75506A}" name="VolumeAV7" dataDxfId="2139" dataCellStyle="Comma"/>
    <tableColumn id="9" xr3:uid="{F9EA7004-940F-4E42-9E05-45ACC60D31E3}" name="VolumeAV8" dataDxfId="2138" dataCellStyle="Comma"/>
    <tableColumn id="10" xr3:uid="{32FCDE73-4126-D643-A9EA-46C7A1AB5C2C}" name="VolumeAV9" dataDxfId="2137" dataCellStyle="Comma"/>
    <tableColumn id="11" xr3:uid="{7439CF2B-B03F-B349-A5AD-03A86DA63C60}" name="VolumeAV10" dataDxfId="2136" dataCellStyle="Comma"/>
    <tableColumn id="12" xr3:uid="{C0B9B680-5103-AE4E-ABA5-DC0D3B8256CD}" name="VolumeAV11" dataDxfId="2135" dataCellStyle="Comma"/>
    <tableColumn id="13" xr3:uid="{23A5D386-C520-0B4B-BF4E-FAAA66D794D4}" name="VolumeAV12" dataDxfId="2134" dataCellStyle="Comma"/>
    <tableColumn id="14" xr3:uid="{98A613A1-A0C8-CE4A-BD85-8FE3FB18160D}" name="VolumeAV13" dataDxfId="2133" dataCellStyle="Comma"/>
    <tableColumn id="15" xr3:uid="{A7A58C4F-A83C-2D4A-B754-9B307634A5A4}" name="VolumeAV14" dataDxfId="2132" dataCellStyle="Comma"/>
    <tableColumn id="16" xr3:uid="{F8BBBBA1-2662-2841-82D7-65FA8FA94BC2}" name="VolumeAV15" dataDxfId="2131" dataCellStyle="Comma"/>
    <tableColumn id="17" xr3:uid="{1E3A524D-09C1-1547-98DB-667D506C3291}" name="VolumeAV16" dataDxfId="2130" dataCellStyle="Comma"/>
    <tableColumn id="18" xr3:uid="{75328263-19F5-9E41-A079-EA70EAB2BD37}" name="VolumeAV17" dataDxfId="2129" dataCellStyle="Comma"/>
    <tableColumn id="19" xr3:uid="{7429A8D8-0A57-E74F-9269-8E54044F49AB}" name="VolumeAV18" dataDxfId="2128" dataCellStyle="Comma"/>
    <tableColumn id="20" xr3:uid="{575D40F2-3F48-1D4D-9813-1574FF33990B}" name="VolumeAV19" dataDxfId="2127" dataCellStyle="Comma"/>
    <tableColumn id="21" xr3:uid="{E4DCEDCE-1D73-E54B-8746-C7B82073AA57}" name="VolumeAV20" dataDxfId="212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25" dataDxfId="2124" tableBorderDxfId="2123">
  <autoFilter ref="F1199:Z1293" xr:uid="{071FD0FF-AECC-C844-91B0-2D3814BAA800}"/>
  <tableColumns count="21">
    <tableColumn id="1" xr3:uid="{3E6BCBC8-17C5-D544-8397-29CB96C09FB0}" name="BETA0" dataDxfId="2122"/>
    <tableColumn id="2" xr3:uid="{EA9DF148-0896-0241-9853-BCCF84E573C7}" name="BETA1" dataDxfId="2121"/>
    <tableColumn id="3" xr3:uid="{305CE689-D655-3047-8897-0CB222FC9C97}" name="BETA2" dataDxfId="2120"/>
    <tableColumn id="4" xr3:uid="{B642F9B5-64FD-F541-A471-56F96D4838D5}" name="BETA3" dataDxfId="2119"/>
    <tableColumn id="5" xr3:uid="{7D408C4F-A6DA-7744-90B5-58BED4DCA387}" name="BETA4" dataDxfId="2118"/>
    <tableColumn id="6" xr3:uid="{1C388ED8-51FC-FC4B-8218-215A76F7FE67}" name="BETA5" dataDxfId="2117"/>
    <tableColumn id="7" xr3:uid="{E7CDFCD7-DA4D-2449-AF1E-C02968632992}" name="BETA6" dataDxfId="2116"/>
    <tableColumn id="8" xr3:uid="{85FC13AF-AA4A-F542-9735-2441281158E1}" name="BETA7" dataDxfId="2115"/>
    <tableColumn id="9" xr3:uid="{99F619D1-DC28-C640-9EA1-3B3528D0F909}" name="BETA8" dataDxfId="2114"/>
    <tableColumn id="10" xr3:uid="{8EF98610-5953-1744-9F07-FCBA4B8DAD80}" name="BETA9" dataDxfId="2113"/>
    <tableColumn id="11" xr3:uid="{48405BC4-9142-8448-A3A7-0E5B30515726}" name="BETA10" dataDxfId="2112"/>
    <tableColumn id="12" xr3:uid="{4B254EFA-F69B-CD48-95A7-E3DD170FDAF6}" name="BETA11" dataDxfId="2111"/>
    <tableColumn id="13" xr3:uid="{F4BD7B80-FE62-584F-87F5-9610991B2DF9}" name="BETA12" dataDxfId="2110"/>
    <tableColumn id="14" xr3:uid="{997D1600-D275-2448-9059-48C623B70DBD}" name="BETA13" dataDxfId="2109"/>
    <tableColumn id="15" xr3:uid="{7FB75DCB-5880-334F-A05B-5C68FD891D9C}" name="BETA14" dataDxfId="2108"/>
    <tableColumn id="16" xr3:uid="{29D4352B-3770-A444-8C39-24FF6DCF527D}" name="BETA15" dataDxfId="2107"/>
    <tableColumn id="17" xr3:uid="{CC6C6D3F-4D9E-FB4E-870B-9E37C67A1E94}" name="BETA16" dataDxfId="2106"/>
    <tableColumn id="18" xr3:uid="{B6C6B591-4B12-5B48-B6EE-A7BF688195FF}" name="BETA17" dataDxfId="2105"/>
    <tableColumn id="19" xr3:uid="{91C40A07-D511-6C45-9282-58D43AF5D020}" name="BETA18" dataDxfId="2104"/>
    <tableColumn id="20" xr3:uid="{4980A1EB-51EE-2C4F-B65C-97ED9A3D26B5}" name="BETA19" dataDxfId="2103"/>
    <tableColumn id="21" xr3:uid="{C4D8FCC4-CF6E-EF4C-8612-A56614867063}" name="BETA20" dataDxfId="210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01" dataDxfId="2100" tableBorderDxfId="2099" dataCellStyle="Comma">
  <autoFilter ref="AB902:AV996" xr:uid="{6B77735E-46E6-7545-A642-770D818A2D75}"/>
  <tableColumns count="21">
    <tableColumn id="1" xr3:uid="{78A7C6E8-2822-4343-B8B3-B58D5A5C861C}" name="RSI0" dataDxfId="2098" dataCellStyle="Comma"/>
    <tableColumn id="2" xr3:uid="{E98CCE09-2573-4E47-ACFE-022664B84B4C}" name="RSI1" dataDxfId="2097" dataCellStyle="Comma"/>
    <tableColumn id="3" xr3:uid="{ACFE02A1-D8BD-EB4A-B834-5B28E9ACC18D}" name="RSI2" dataDxfId="2096" dataCellStyle="Comma"/>
    <tableColumn id="4" xr3:uid="{B6282100-5411-B14D-A9C9-B2CAC437FBB9}" name="RSI3" dataDxfId="2095" dataCellStyle="Comma"/>
    <tableColumn id="5" xr3:uid="{7A8EE7B4-22B4-404D-B15A-BC6B8B952E38}" name="RSI4" dataDxfId="2094" dataCellStyle="Comma"/>
    <tableColumn id="6" xr3:uid="{2989F0E1-E812-514F-95E6-26AA98E62E04}" name="RSI5" dataDxfId="2093" dataCellStyle="Comma"/>
    <tableColumn id="7" xr3:uid="{A8D8FA8D-9763-1640-AB49-A2CC0DF27AD9}" name="RSI6" dataDxfId="2092" dataCellStyle="Comma"/>
    <tableColumn id="8" xr3:uid="{2383B8DB-8E34-2045-80E5-BFC5F537D306}" name="RSI7" dataDxfId="2091" dataCellStyle="Comma"/>
    <tableColumn id="9" xr3:uid="{BEE36186-0446-AA4E-A48D-58473919680F}" name="RSI8" dataDxfId="2090" dataCellStyle="Comma"/>
    <tableColumn id="10" xr3:uid="{3056AA09-B75A-3F47-BA0C-4BC0730AA9A2}" name="RSI9" dataDxfId="2089" dataCellStyle="Comma"/>
    <tableColumn id="11" xr3:uid="{88D58233-4FE5-6D43-8260-B992739672EC}" name="RSI10" dataDxfId="2088" dataCellStyle="Comma"/>
    <tableColumn id="12" xr3:uid="{D08F0A16-307A-CB4E-B109-169320FBD1E9}" name="RSI11" dataDxfId="2087" dataCellStyle="Comma"/>
    <tableColumn id="13" xr3:uid="{5675D356-6E8F-7140-84E2-2760931C0061}" name="RSI12" dataDxfId="2086" dataCellStyle="Comma"/>
    <tableColumn id="14" xr3:uid="{56E1F75D-E50B-6941-9C85-C8456F3A502D}" name="RSI13" dataDxfId="2085" dataCellStyle="Comma"/>
    <tableColumn id="15" xr3:uid="{0EB5233D-4800-3B48-8C4D-83F182791517}" name="RSI14" dataDxfId="2084" dataCellStyle="Comma"/>
    <tableColumn id="16" xr3:uid="{F1DA6FAA-219D-DB40-888E-4B8355632C3E}" name="RSI15" dataDxfId="2083" dataCellStyle="Comma"/>
    <tableColumn id="17" xr3:uid="{87038607-300B-9A4E-8AB1-32360C0BCED1}" name="RSI16" dataDxfId="2082" dataCellStyle="Comma"/>
    <tableColumn id="18" xr3:uid="{216E4659-AF11-2749-A023-E9DBCA3D3FA2}" name="RSI17" dataDxfId="2081" dataCellStyle="Comma"/>
    <tableColumn id="19" xr3:uid="{3369DE30-2A5A-4049-8BC3-16DCF75D83FE}" name="RSI18" dataDxfId="2080" dataCellStyle="Comma"/>
    <tableColumn id="20" xr3:uid="{48350DE2-6BE5-1345-84B2-782B10F06A03}" name="RSI19" dataDxfId="2079" dataCellStyle="Comma"/>
    <tableColumn id="21" xr3:uid="{48474E5F-00E7-A24D-9184-B6F5A16251A0}" name="RSI20" dataDxfId="207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77" dataDxfId="2076" tableBorderDxfId="2075" dataCellStyle="Comma">
  <autoFilter ref="AB1001:AV1095" xr:uid="{55876AF5-DDC5-0C46-8253-9CE2A2026D21}"/>
  <tableColumns count="21">
    <tableColumn id="1" xr3:uid="{7881D38C-EE57-AD43-9C51-A2D36B2DD1C0}" name="RSIConv0" dataDxfId="2074" dataCellStyle="Comma"/>
    <tableColumn id="2" xr3:uid="{273702F5-9D3C-9F4A-80D0-0DCDBB3DCD59}" name="RSIConv1" dataDxfId="2073" dataCellStyle="Comma"/>
    <tableColumn id="3" xr3:uid="{83DCA11F-CA44-8848-8B85-F0B2E37C4F0C}" name="RSIConv2" dataDxfId="2072" dataCellStyle="Comma"/>
    <tableColumn id="4" xr3:uid="{55C21B30-B418-0D45-AD39-1565CF1997A1}" name="RSIConv3" dataDxfId="2071" dataCellStyle="Comma"/>
    <tableColumn id="5" xr3:uid="{BB9B84B0-BCEB-794C-8FF2-D58E69348C06}" name="RSIConv4" dataDxfId="2070" dataCellStyle="Comma"/>
    <tableColumn id="6" xr3:uid="{097186E5-7C8A-3F41-B35A-49384289CD0F}" name="RSIConv5" dataDxfId="2069" dataCellStyle="Comma"/>
    <tableColumn id="7" xr3:uid="{CC05FA3D-FFB7-BE47-99D3-2646C96C0CBF}" name="RSIConv6" dataDxfId="2068" dataCellStyle="Comma"/>
    <tableColumn id="8" xr3:uid="{CB2150CC-BF4D-D345-A7AA-4181448136A7}" name="RSIConv7" dataDxfId="2067" dataCellStyle="Comma"/>
    <tableColumn id="9" xr3:uid="{72A1979C-0FD2-9F4E-AFE5-CBD747F6B4AA}" name="RSIConv8" dataDxfId="2066" dataCellStyle="Comma"/>
    <tableColumn id="10" xr3:uid="{D515DCE0-17C5-8E42-BAD4-109A2A5298F0}" name="RSIConv9" dataDxfId="2065" dataCellStyle="Comma"/>
    <tableColumn id="11" xr3:uid="{F44C4C40-F6CC-1941-9573-4BA0D73A8D58}" name="RSIConv10" dataDxfId="2064" dataCellStyle="Comma"/>
    <tableColumn id="12" xr3:uid="{4DE80765-1FE2-A649-B6F3-0C2B4518761C}" name="RSIConv11" dataDxfId="2063" dataCellStyle="Comma"/>
    <tableColumn id="13" xr3:uid="{8544D363-8B56-7C43-95EE-FFDB1DEA969C}" name="RSIConv12" dataDxfId="2062" dataCellStyle="Comma"/>
    <tableColumn id="14" xr3:uid="{D60B5757-70FA-A245-9445-8A97AB6A0396}" name="RSIConv13" dataDxfId="2061" dataCellStyle="Comma"/>
    <tableColumn id="15" xr3:uid="{B4235226-F5D9-DD46-910F-103FE2B1C3B9}" name="RSIConv14" dataDxfId="2060" dataCellStyle="Comma"/>
    <tableColumn id="16" xr3:uid="{05479B02-8B5D-8441-B9F1-DB51C7A70F30}" name="RSIConv15" dataDxfId="2059" dataCellStyle="Comma"/>
    <tableColumn id="17" xr3:uid="{2C4FA0F3-DB10-274D-8CF3-2AE6D06CE419}" name="RSIConv16" dataDxfId="2058" dataCellStyle="Comma"/>
    <tableColumn id="18" xr3:uid="{58D242FC-0690-DD47-B0BA-60ED63154F95}" name="RSIConv17" dataDxfId="2057" dataCellStyle="Comma"/>
    <tableColumn id="19" xr3:uid="{65EAB3BB-4FC4-6448-B97E-F13E83B68528}" name="RSIConv18" dataDxfId="2056" dataCellStyle="Comma"/>
    <tableColumn id="20" xr3:uid="{E85541A1-4E16-B549-87E0-867D3FA7AB11}" name="RSIConv19" dataDxfId="2055" dataCellStyle="Comma"/>
    <tableColumn id="21" xr3:uid="{62EE7DD4-57B6-1B4B-BB14-920C26DA151F}" name="RSIConv20" dataDxfId="205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53" dataDxfId="2052" tableBorderDxfId="2051" dataCellStyle="Comma">
  <autoFilter ref="AB1100:AV1194" xr:uid="{A6858140-8021-514E-B3E1-C7BF94FA0033}"/>
  <tableColumns count="21">
    <tableColumn id="1" xr3:uid="{E298D0BD-45AF-4148-9BAD-429094EF8271}" name="Cash0" dataDxfId="2050" dataCellStyle="Comma"/>
    <tableColumn id="2" xr3:uid="{86547C8D-C915-714E-9477-0F23E52B00F6}" name="Cash1" dataDxfId="2049" dataCellStyle="Comma"/>
    <tableColumn id="3" xr3:uid="{36D62499-6FBB-044B-ABE4-67E8EC92B406}" name="Cash2" dataDxfId="2048" dataCellStyle="Comma"/>
    <tableColumn id="4" xr3:uid="{95CBFF96-C40A-394B-871E-117B86F71A75}" name="Cash3" dataDxfId="2047" dataCellStyle="Comma"/>
    <tableColumn id="5" xr3:uid="{40B0C993-D356-544E-8F72-B25CD1561DB9}" name="Cash4" dataDxfId="2046" dataCellStyle="Comma"/>
    <tableColumn id="6" xr3:uid="{16105271-212F-7F47-BCE1-3C465279D64E}" name="Cash5" dataDxfId="2045" dataCellStyle="Comma"/>
    <tableColumn id="7" xr3:uid="{9B523121-22D5-7D4C-9773-B20E7E733C34}" name="Cash6" dataDxfId="2044" dataCellStyle="Comma"/>
    <tableColumn id="8" xr3:uid="{99749C28-89C2-3D49-97C2-E4C4640DF6DA}" name="Cash7" dataDxfId="2043" dataCellStyle="Comma"/>
    <tableColumn id="9" xr3:uid="{5111F612-3907-904E-986D-8892DD33995C}" name="Cash8" dataDxfId="2042" dataCellStyle="Comma"/>
    <tableColumn id="10" xr3:uid="{E08E9B9D-14BA-5440-95B0-D4AFDB52F61F}" name="Cash9" dataDxfId="2041" dataCellStyle="Comma"/>
    <tableColumn id="11" xr3:uid="{D271A389-E25F-104D-9413-0FD54B41EEAE}" name="Cash10" dataDxfId="2040" dataCellStyle="Comma"/>
    <tableColumn id="12" xr3:uid="{3B4A241E-9074-734F-915D-7726D458DCAF}" name="Cash11" dataDxfId="2039" dataCellStyle="Comma"/>
    <tableColumn id="13" xr3:uid="{E8D8F957-8CFE-914E-B859-B221C47E58B2}" name="Cash12" dataDxfId="2038" dataCellStyle="Comma"/>
    <tableColumn id="14" xr3:uid="{113831A1-CC99-3B42-B8F5-AFEB1DC22D33}" name="Cash13" dataDxfId="2037" dataCellStyle="Comma"/>
    <tableColumn id="15" xr3:uid="{0E765A96-5FE3-4C4B-82B8-8B3F51B4536C}" name="Cash14" dataDxfId="2036" dataCellStyle="Comma"/>
    <tableColumn id="16" xr3:uid="{F2C78A88-D1BC-014E-8114-18527AC2CB5B}" name="Cash15" dataDxfId="2035" dataCellStyle="Comma"/>
    <tableColumn id="17" xr3:uid="{D2964560-F4EE-6344-A6DE-47921DE660C0}" name="Cash16" dataDxfId="2034" dataCellStyle="Comma"/>
    <tableColumn id="18" xr3:uid="{4FD8EDF7-D5A7-1440-B477-3FF6B70BEDD0}" name="Cash17" dataDxfId="2033" dataCellStyle="Comma"/>
    <tableColumn id="19" xr3:uid="{3649DE1E-D435-714F-BB19-EF3402C6AF22}" name="Cash18" dataDxfId="2032" dataCellStyle="Comma"/>
    <tableColumn id="20" xr3:uid="{701D1C02-DFD0-784A-9F28-745E11161D7E}" name="Cash19" dataDxfId="2031" dataCellStyle="Comma"/>
    <tableColumn id="21" xr3:uid="{0C684961-AF54-3648-8593-3FE8563E6C51}" name="Cash20" dataDxfId="203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29" dataDxfId="2028" tableBorderDxfId="2027" dataCellStyle="Comma">
  <autoFilter ref="AB1199:AV1293" xr:uid="{0A5A3FC2-1860-534B-8DD0-10BDA217BDFE}"/>
  <tableColumns count="21">
    <tableColumn id="1" xr3:uid="{B7BE4C83-4F89-A148-9BFD-EF937D226141}" name="RevSale0" dataDxfId="2026" dataCellStyle="Comma"/>
    <tableColumn id="2" xr3:uid="{D9B00968-AB75-D341-95A0-B5E0538F519B}" name="RevSale1" dataDxfId="2025" dataCellStyle="Comma"/>
    <tableColumn id="3" xr3:uid="{848EC437-A5F6-CD42-94EE-ADC9AE69EB25}" name="RevSale2" dataDxfId="2024" dataCellStyle="Comma"/>
    <tableColumn id="4" xr3:uid="{1B494BF3-2E0F-8F4A-9955-142385E1F8BD}" name="RevSale3" dataDxfId="2023" dataCellStyle="Comma"/>
    <tableColumn id="5" xr3:uid="{48A95940-B649-F245-BDFB-40FD49B4EEA9}" name="RevSale4" dataDxfId="2022" dataCellStyle="Comma"/>
    <tableColumn id="6" xr3:uid="{F29C926F-5AD5-DB46-A4C8-38488FC88563}" name="RevSale5" dataDxfId="2021" dataCellStyle="Comma"/>
    <tableColumn id="7" xr3:uid="{40881A88-B6CC-1748-AE84-DBBF15CDD664}" name="RevSale6" dataDxfId="2020" dataCellStyle="Comma"/>
    <tableColumn id="8" xr3:uid="{06780BEA-27AA-E74D-A331-9525B9D24152}" name="RevSale7" dataDxfId="2019" dataCellStyle="Comma"/>
    <tableColumn id="9" xr3:uid="{0900939F-F515-6C46-888D-909EDE9F09FB}" name="RevSale8" dataDxfId="2018" dataCellStyle="Comma"/>
    <tableColumn id="10" xr3:uid="{0DE3B22B-7FDD-5F47-B41E-5678A133FE87}" name="RevSale9" dataDxfId="2017" dataCellStyle="Comma"/>
    <tableColumn id="11" xr3:uid="{F662376C-7504-8046-9CD8-038237C565B0}" name="RevSale10" dataDxfId="2016" dataCellStyle="Comma"/>
    <tableColumn id="12" xr3:uid="{007BA40B-4C88-4243-B8BD-C61A273884FA}" name="RevSale11" dataDxfId="2015" dataCellStyle="Comma"/>
    <tableColumn id="13" xr3:uid="{9000EAA8-2766-DC4D-8C59-5A2A0FF49296}" name="RevSale12" dataDxfId="2014" dataCellStyle="Comma"/>
    <tableColumn id="14" xr3:uid="{6FC4A1EC-D5E3-3A4E-8294-EC201288D435}" name="RevSale13" dataDxfId="2013" dataCellStyle="Comma"/>
    <tableColumn id="15" xr3:uid="{43639010-CC3B-D243-B85E-C1E15232EBDC}" name="RevSale14" dataDxfId="2012" dataCellStyle="Comma"/>
    <tableColumn id="16" xr3:uid="{61BFA615-44B6-9D4C-B74F-B6FFE6E04A2D}" name="RevSale15" dataDxfId="2011" dataCellStyle="Comma"/>
    <tableColumn id="17" xr3:uid="{D569100A-7B22-4E4A-970A-85E3A0A201C1}" name="RevSale16" dataDxfId="2010" dataCellStyle="Comma"/>
    <tableColumn id="18" xr3:uid="{06F7FE50-0662-3A4D-9EE3-8DB9F5D70BFF}" name="RevSale17" dataDxfId="2009" dataCellStyle="Comma"/>
    <tableColumn id="19" xr3:uid="{15DF4D6C-5238-9246-BC08-243E825E1949}" name="RevSale18" dataDxfId="2008" dataCellStyle="Comma"/>
    <tableColumn id="20" xr3:uid="{49CC288D-DED6-E54C-AE81-4FB2F509C2FB}" name="RevSale19" dataDxfId="2007" dataCellStyle="Comma"/>
    <tableColumn id="21" xr3:uid="{106C00F1-2979-8B4B-BB61-4D1DF0F6F9E0}" name="RevSale20" dataDxfId="200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05" dataDxfId="2004" tableBorderDxfId="2003" dataCellStyle="Comma">
  <autoFilter ref="AB1298:AV1392" xr:uid="{029B3B90-231D-984A-8913-4BD26833EE55}"/>
  <tableColumns count="21">
    <tableColumn id="1" xr3:uid="{6A48BBC4-9F8C-E241-ABF9-8B082D07A915}" name="RevBuy0" dataDxfId="2002" dataCellStyle="Comma"/>
    <tableColumn id="2" xr3:uid="{3DC22D7D-8F33-224B-9FD3-A02E0E52A654}" name="RevBuy1" dataDxfId="2001" dataCellStyle="Comma"/>
    <tableColumn id="3" xr3:uid="{BFA86469-714F-604A-83B7-ADBDA419AAAC}" name="RevBuy2" dataDxfId="2000" dataCellStyle="Comma"/>
    <tableColumn id="4" xr3:uid="{BD5D4CEC-DFA9-A645-B64D-5478236122ED}" name="RevBuy3" dataDxfId="1999" dataCellStyle="Comma"/>
    <tableColumn id="5" xr3:uid="{FEEEA6B5-12EE-CA49-BC91-E9808CF75D06}" name="RevBuy4" dataDxfId="1998" dataCellStyle="Comma"/>
    <tableColumn id="6" xr3:uid="{8DDFBBE0-AB23-7641-A24A-F97BF48C35AC}" name="RevBuy5" dataDxfId="1997" dataCellStyle="Comma"/>
    <tableColumn id="7" xr3:uid="{9AAFF624-6153-C640-9CA1-6E9EAE0C62E6}" name="RevBuy6" dataDxfId="1996" dataCellStyle="Comma"/>
    <tableColumn id="8" xr3:uid="{3CE951EB-53B3-1244-B40C-ACD7AE718ADE}" name="RevBuy7" dataDxfId="1995" dataCellStyle="Comma"/>
    <tableColumn id="9" xr3:uid="{0F49B9D0-426D-C34B-8BC8-3409AFDA4ABC}" name="RevBuy8" dataDxfId="1994" dataCellStyle="Comma"/>
    <tableColumn id="10" xr3:uid="{9A0FBB4F-5D77-2B4B-99E0-824364A5297D}" name="RevBuy9" dataDxfId="1993" dataCellStyle="Comma"/>
    <tableColumn id="11" xr3:uid="{A6DFA062-72DB-994D-B9D4-26B6405DD395}" name="RevBuy10" dataDxfId="1992" dataCellStyle="Comma"/>
    <tableColumn id="12" xr3:uid="{7393EDBB-4FCA-B149-8058-EB9D09947DDE}" name="RevBuy11" dataDxfId="1991" dataCellStyle="Comma"/>
    <tableColumn id="13" xr3:uid="{0E6A4A32-6A6F-174A-95B9-58836CFD2CB3}" name="RevBuy12" dataDxfId="1990" dataCellStyle="Comma"/>
    <tableColumn id="14" xr3:uid="{2CF43023-9A75-C748-985A-9E29BD626892}" name="RevBuy13" dataDxfId="1989" dataCellStyle="Comma"/>
    <tableColumn id="15" xr3:uid="{4E36864A-377C-3A48-BC00-50578A6E506F}" name="RevBuy14" dataDxfId="1988" dataCellStyle="Comma"/>
    <tableColumn id="16" xr3:uid="{DB1CD117-EFF8-1840-99D4-2D16851999F1}" name="RevBuy15" dataDxfId="1987" dataCellStyle="Comma"/>
    <tableColumn id="17" xr3:uid="{42B2D85B-B956-8E40-9443-86D19B1A05D9}" name="RevBuy16" dataDxfId="1986" dataCellStyle="Comma"/>
    <tableColumn id="18" xr3:uid="{512DE7CC-E954-994C-A03A-4ABBD8962618}" name="RevBuy17" dataDxfId="1985" dataCellStyle="Comma"/>
    <tableColumn id="19" xr3:uid="{695A19CA-5D3E-ED4B-97F1-6D391036EF05}" name="RevBuy18" dataDxfId="1984" dataCellStyle="Comma"/>
    <tableColumn id="20" xr3:uid="{B2119E64-AACB-A14C-9559-514A472B4B21}" name="RevBuy19" dataDxfId="1983" dataCellStyle="Comma"/>
    <tableColumn id="21" xr3:uid="{2163EE0E-D715-DF4A-AEE0-8201AC51B898}" name="RevBuy20" dataDxfId="198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81" dataDxfId="1980" tableBorderDxfId="1979" dataCellStyle="Comma">
  <autoFilter ref="AB1397:AV1491" xr:uid="{A862798D-1A6F-4F4B-9D3C-CC5F9499011B}"/>
  <tableColumns count="21">
    <tableColumn id="1" xr3:uid="{3AC0D457-1D0C-7F49-A40F-0DE88B6B346F}" name="ExtraV0" dataDxfId="1978" totalsRowDxfId="1977" dataCellStyle="Comma"/>
    <tableColumn id="2" xr3:uid="{BBA9E372-2827-524A-8766-E691E6346A00}" name="ExtraV1" dataDxfId="1976" totalsRowDxfId="1975" dataCellStyle="Comma"/>
    <tableColumn id="3" xr3:uid="{86FFF09D-F252-5D4A-B7AE-018C7F417359}" name="ExtraV2" dataDxfId="1974" totalsRowDxfId="1973" dataCellStyle="Comma"/>
    <tableColumn id="4" xr3:uid="{EC3B54C3-0BA1-454F-B2AE-A9D80F740098}" name="ExtraV3" dataDxfId="1972" totalsRowDxfId="1971" dataCellStyle="Comma"/>
    <tableColumn id="5" xr3:uid="{D993D839-87B0-0E40-8C6F-15665A8E8072}" name="ExtraV4" dataDxfId="1970" totalsRowDxfId="1969" dataCellStyle="Comma"/>
    <tableColumn id="6" xr3:uid="{1BFB46B7-C176-504F-8EBB-26171A3D0521}" name="ExtraV5" dataDxfId="1968" totalsRowDxfId="1967" dataCellStyle="Comma"/>
    <tableColumn id="7" xr3:uid="{2B054E70-6A65-2841-B5D4-1D5AA57C8782}" name="ExtraV6" dataDxfId="1966" totalsRowDxfId="1965" dataCellStyle="Comma"/>
    <tableColumn id="8" xr3:uid="{68325155-E45A-FC4D-97C1-76858716F55F}" name="ExtraV7" dataDxfId="1964" totalsRowDxfId="1963" dataCellStyle="Comma"/>
    <tableColumn id="9" xr3:uid="{C54B2B53-F7FD-7A49-BDA6-04D9B4EF7741}" name="ExtraV8" dataDxfId="1962" totalsRowDxfId="1961" dataCellStyle="Comma"/>
    <tableColumn id="10" xr3:uid="{6B6BA1C0-34D2-A141-93A2-236370689F5C}" name="ExtraV9" dataDxfId="1960" totalsRowDxfId="1959" dataCellStyle="Comma"/>
    <tableColumn id="11" xr3:uid="{05AD6B97-9023-594F-8540-CDDA816224C7}" name="ExtraV10" dataDxfId="1958" totalsRowDxfId="1957" dataCellStyle="Comma"/>
    <tableColumn id="12" xr3:uid="{AE2DB8DB-D042-3345-AE75-DF958B831776}" name="ExtraV11" dataDxfId="1956" totalsRowDxfId="1955" dataCellStyle="Comma"/>
    <tableColumn id="13" xr3:uid="{DB617589-A099-C643-8929-3D2CA9AFC0F5}" name="ExtraV12" dataDxfId="1954" totalsRowDxfId="1953" dataCellStyle="Comma"/>
    <tableColumn id="14" xr3:uid="{CD892BF4-9983-4847-9C5F-D9B2BB0D5F2D}" name="ExtraV13" dataDxfId="1952" totalsRowDxfId="1951" dataCellStyle="Comma"/>
    <tableColumn id="15" xr3:uid="{8E18B52E-0B40-1F43-8E69-05D5D9F2074B}" name="ExtraV14" dataDxfId="1950" totalsRowDxfId="1949" dataCellStyle="Comma"/>
    <tableColumn id="16" xr3:uid="{077DD0B2-C59F-8E48-9793-B86BF53B2326}" name="ExtraV15" dataDxfId="1948" totalsRowDxfId="1947" dataCellStyle="Comma"/>
    <tableColumn id="17" xr3:uid="{FA7FEF7D-BB41-C94D-AD7E-65D253D5E0B2}" name="ExtraV16" dataDxfId="1946" totalsRowDxfId="1945" dataCellStyle="Comma"/>
    <tableColumn id="18" xr3:uid="{DE9E75AC-9C77-CB44-9498-19B521B8BE07}" name="ExtraV17" dataDxfId="1944" totalsRowDxfId="1943" dataCellStyle="Comma"/>
    <tableColumn id="19" xr3:uid="{2FEDB87D-6676-E142-B6C6-4C01E32E4F0A}" name="ExtraV18" dataDxfId="1942" totalsRowDxfId="1941" dataCellStyle="Comma"/>
    <tableColumn id="20" xr3:uid="{2FCA0075-35A7-1B40-8488-C039CCE16E9D}" name="ExtraV19" dataDxfId="1940" totalsRowDxfId="1939" dataCellStyle="Comma"/>
    <tableColumn id="21" xr3:uid="{8B815B8D-74CB-1A4D-B00D-1F6DAD74FC4B}" name="ExtraV20" dataDxfId="1938" totalsRowDxfId="193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36" dataDxfId="1935" tableBorderDxfId="1934" dataCellStyle="Percent">
  <autoFilter ref="AB1496:AV1590" xr:uid="{0F744D99-CBDB-A840-B675-EB13CC0AC422}"/>
  <tableColumns count="21">
    <tableColumn id="1" xr3:uid="{E1EC9148-EB38-344A-9ECF-E8F28A8A49A8}" name="Rev_GL0" dataDxfId="1933" dataCellStyle="Percent"/>
    <tableColumn id="2" xr3:uid="{4187F546-585D-D945-A89B-784CBB16D86B}" name="Rev_GL1" dataDxfId="1932" dataCellStyle="Percent"/>
    <tableColumn id="3" xr3:uid="{952B18A9-1809-FD4A-A0D4-0B8C6B10222D}" name="Rev_GL2" dataDxfId="1931" dataCellStyle="Percent"/>
    <tableColumn id="4" xr3:uid="{454132EA-52DC-4B46-84C9-F8C1817AAA8B}" name="Rev_GL3" dataDxfId="1930" dataCellStyle="Percent"/>
    <tableColumn id="5" xr3:uid="{46042E51-AD37-D64B-9F54-0AECB1CF208E}" name="Rev_GL4" dataDxfId="1929" dataCellStyle="Percent"/>
    <tableColumn id="6" xr3:uid="{88F9D56A-B70E-5F42-94D8-D65259D09AB6}" name="Rev_GL5" dataDxfId="1928" dataCellStyle="Percent"/>
    <tableColumn id="7" xr3:uid="{E66AADF7-66BC-6945-B6C8-8DE9B67D7D8C}" name="Rev_GL6" dataDxfId="1927" dataCellStyle="Percent"/>
    <tableColumn id="8" xr3:uid="{37DCCF9B-EF3C-2E46-A599-23C1C4979010}" name="Rev_GL7" dataDxfId="1926" dataCellStyle="Percent"/>
    <tableColumn id="9" xr3:uid="{E3EC2144-FCFD-4A4A-9A90-DBEB5288EF9F}" name="Rev_GL8" dataDxfId="1925" dataCellStyle="Percent"/>
    <tableColumn id="10" xr3:uid="{F8204BC8-8C71-AC4D-94AB-07EF311BCDB1}" name="Rev_GL9" dataDxfId="1924" dataCellStyle="Percent"/>
    <tableColumn id="11" xr3:uid="{9BC9C872-1F07-7B4D-9217-6A0B6AF47865}" name="Rev_GL10" dataDxfId="1923" dataCellStyle="Percent"/>
    <tableColumn id="12" xr3:uid="{120827D9-3318-D744-9216-DC27D3CF5968}" name="Rev_GL11" dataDxfId="1922" dataCellStyle="Percent"/>
    <tableColumn id="13" xr3:uid="{5D3F0E9B-693A-E944-918D-50F58C26C2C4}" name="Rev_GL12" dataDxfId="1921" dataCellStyle="Percent"/>
    <tableColumn id="14" xr3:uid="{17E4A056-EF9A-6746-8B3A-898BFDD6A696}" name="Rev_GL13" dataDxfId="1920" dataCellStyle="Percent"/>
    <tableColumn id="15" xr3:uid="{FFEBDC05-8049-534C-A5B3-7EBE90032BE1}" name="Rev_GL14" dataDxfId="1919" dataCellStyle="Percent"/>
    <tableColumn id="16" xr3:uid="{0A197748-CDC1-C64A-AE17-D22E200567DB}" name="Rev_GL15" dataDxfId="1918" dataCellStyle="Percent"/>
    <tableColumn id="17" xr3:uid="{42E0E5EF-910E-5F4E-9CF1-9CFAEC4C8700}" name="Rev_GL16" dataDxfId="1917" dataCellStyle="Percent"/>
    <tableColumn id="18" xr3:uid="{8B111263-3695-3044-B75D-C98410149243}" name="Rev_GL17" dataDxfId="1916" dataCellStyle="Percent"/>
    <tableColumn id="19" xr3:uid="{C3255BF8-7FCD-D64A-97FB-553379A81A55}" name="Rev_GL18" dataDxfId="1915" dataCellStyle="Percent"/>
    <tableColumn id="20" xr3:uid="{7A6EE87E-0D4C-D14A-B440-FBF691F1A8D2}" name="Rev_GL19" dataDxfId="1914" dataCellStyle="Percent"/>
    <tableColumn id="21" xr3:uid="{2E0D70B8-5AC9-9044-8C37-930BC7209F87}" name="Rev_GL20" dataDxfId="191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12" dataDxfId="1911" tableBorderDxfId="1910" dataCellStyle="Percent">
  <autoFilter ref="F1298:Z1392" xr:uid="{AF2A9EC8-851C-1C46-8C70-3CD3F3C868AC}"/>
  <tableColumns count="21">
    <tableColumn id="1" xr3:uid="{CA2857FA-1FC2-104D-B66E-371CA24537CD}" name="Naft0" dataDxfId="1909" dataCellStyle="Percent"/>
    <tableColumn id="2" xr3:uid="{8C525679-2502-FF45-B2B9-12506AA3F644}" name="Naft1" dataDxfId="1908" dataCellStyle="Percent"/>
    <tableColumn id="3" xr3:uid="{AD993A4C-A7F1-E342-9EC4-C90192C82B31}" name="Naft2" dataDxfId="1907" dataCellStyle="Percent"/>
    <tableColumn id="4" xr3:uid="{40B8B76F-5171-D54D-BF06-A4AC21350B3B}" name="Naft3" dataDxfId="1906" dataCellStyle="Percent"/>
    <tableColumn id="5" xr3:uid="{762033C0-4281-1746-84F3-542BF017FA4B}" name="Naft4" dataDxfId="1905" dataCellStyle="Percent"/>
    <tableColumn id="6" xr3:uid="{FAFE4B64-0CB1-994E-8F05-C5E44C8DDB03}" name="Naft5" dataDxfId="1904" dataCellStyle="Percent"/>
    <tableColumn id="7" xr3:uid="{AF0D904D-7647-BB48-8D6E-B302E22C3C1C}" name="Naft6" dataDxfId="1903" dataCellStyle="Percent"/>
    <tableColumn id="8" xr3:uid="{CF096B0E-2F7F-924E-BA91-4DC10C6E3ED9}" name="Naft7" dataDxfId="1902" dataCellStyle="Percent"/>
    <tableColumn id="9" xr3:uid="{C3C4E1F9-90C6-9646-BC1A-573E5493DC64}" name="Naft8" dataDxfId="1901" dataCellStyle="Percent"/>
    <tableColumn id="10" xr3:uid="{8A89D7FB-45BB-7642-A43A-239F682092E7}" name="Naft9" dataDxfId="1900" dataCellStyle="Percent"/>
    <tableColumn id="11" xr3:uid="{6CB557D2-EFB9-2E40-ADFE-F1D06A55A2C1}" name="Naft10" dataDxfId="1899" dataCellStyle="Percent"/>
    <tableColumn id="12" xr3:uid="{D7F02D6C-BB3C-D747-B902-F6B6DDD59B57}" name="Naft11" dataDxfId="1898" dataCellStyle="Percent"/>
    <tableColumn id="13" xr3:uid="{FD8D6943-9FA6-EA49-BBD9-F5E3DDB53BE7}" name="Naft12" dataDxfId="1897" dataCellStyle="Percent"/>
    <tableColumn id="14" xr3:uid="{2393C95D-1173-E448-837B-713DEFB9753C}" name="Naft13" dataDxfId="1896" dataCellStyle="Percent"/>
    <tableColumn id="15" xr3:uid="{E4C43FA3-A3C8-D340-985B-1BEA174F8B98}" name="Naft14" dataDxfId="1895" dataCellStyle="Percent"/>
    <tableColumn id="16" xr3:uid="{5F4E9827-A41F-8D4B-B649-51F74733E28D}" name="Naft15" dataDxfId="1894" dataCellStyle="Percent"/>
    <tableColumn id="17" xr3:uid="{DC3B667D-F4B9-8648-ACF1-C0371C364AA1}" name="Naft16" dataDxfId="1893" dataCellStyle="Percent"/>
    <tableColumn id="18" xr3:uid="{3E4D8A11-1F61-DE42-9951-C0BA46393626}" name="Naft17" dataDxfId="1892" dataCellStyle="Percent"/>
    <tableColumn id="19" xr3:uid="{50825E73-0383-E743-BD57-1CC0EAEE123B}" name="Naft18" dataDxfId="1891" dataCellStyle="Percent"/>
    <tableColumn id="20" xr3:uid="{BF93579D-889E-5B4A-A245-055F31FD5F5F}" name="Naft19" dataDxfId="1890" dataCellStyle="Percent"/>
    <tableColumn id="21" xr3:uid="{1A3DDD58-5298-C144-A846-CB3FD97B6F3B}" name="Naft20" dataDxfId="188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888" dataDxfId="1887" tableBorderDxfId="1886">
  <autoFilter ref="F1397:Z1491" xr:uid="{F6EF671C-15EB-6340-A931-CD19935BD39E}"/>
  <tableColumns count="21">
    <tableColumn id="1" xr3:uid="{3937D0B6-0B63-584B-8662-4CF442418B39}" name="Free2_0" dataDxfId="1885"/>
    <tableColumn id="2" xr3:uid="{297E75E7-30A8-614A-BC6B-7EDF8EA51692}" name="Free2_1" dataDxfId="1884"/>
    <tableColumn id="3" xr3:uid="{7F7BAB67-5081-FE41-B799-765A7833B5F6}" name="Free2_2" dataDxfId="1883"/>
    <tableColumn id="4" xr3:uid="{700C6907-FB66-B04F-81CB-5569C38B311E}" name="Free2_3" dataDxfId="1882"/>
    <tableColumn id="5" xr3:uid="{E20B3C31-90B8-D44C-9ECA-BC79BF5194CC}" name="Free2_4" dataDxfId="1881"/>
    <tableColumn id="6" xr3:uid="{27ADA4AC-F4C1-944D-8D1E-59B6112D7B6E}" name="Free2_5" dataDxfId="1880"/>
    <tableColumn id="7" xr3:uid="{97FCEADF-673E-2044-B069-C5D83CC6CD02}" name="Free2_6" dataDxfId="1879"/>
    <tableColumn id="8" xr3:uid="{2DAEB5D8-A75B-6345-B212-BABEC279EF4F}" name="Free2_7" dataDxfId="1878"/>
    <tableColumn id="9" xr3:uid="{D048A8D0-4C56-164A-B9F6-25853F5C87FB}" name="Free2_8" dataDxfId="1877"/>
    <tableColumn id="10" xr3:uid="{1B9502C7-37BD-1F47-9E14-6E91E86574DE}" name="Free2_9" dataDxfId="1876"/>
    <tableColumn id="11" xr3:uid="{9B6DF665-04C4-7649-852D-B0E5327053BC}" name="Free2_10" dataDxfId="1875"/>
    <tableColumn id="12" xr3:uid="{ABA824BF-6AB3-F848-89AE-8ACE9C246B08}" name="Free2_11" dataDxfId="1874"/>
    <tableColumn id="13" xr3:uid="{BE8860B0-2B51-9346-9587-0367E9E40239}" name="Free2_12" dataDxfId="1873"/>
    <tableColumn id="14" xr3:uid="{3BEA1E54-18D2-6740-93C2-7BD649B58A23}" name="Free2_13" dataDxfId="1872"/>
    <tableColumn id="15" xr3:uid="{79159609-704E-8146-B86F-5E75085DE96C}" name="Free2_14" dataDxfId="1871"/>
    <tableColumn id="16" xr3:uid="{E8E7FE0B-CAFC-A648-A958-2ACB64144D08}" name="Free2_15" dataDxfId="1870"/>
    <tableColumn id="17" xr3:uid="{D33B5289-1DC5-5447-8C39-5A33CEF0329C}" name="Free2_16" dataDxfId="1869"/>
    <tableColumn id="18" xr3:uid="{A4005841-AE7D-4E45-B5E4-DCCB8C0DAF66}" name="Free2_17" dataDxfId="1868"/>
    <tableColumn id="19" xr3:uid="{BF68ED05-57C6-CF48-97AC-E91CD45EE53C}" name="Free2_18" dataDxfId="1867"/>
    <tableColumn id="20" xr3:uid="{E9FBBC2B-85F5-8242-86CF-10EB4C79D58D}" name="Free2_19" dataDxfId="1866"/>
    <tableColumn id="21" xr3:uid="{29DD2BEB-9881-8043-9502-DA3DA8E0EC3C}" name="Free2_20" dataDxfId="186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64" dataDxfId="1863" tableBorderDxfId="1862" dataCellStyle="Comma">
  <autoFilter ref="AB404:AV498" xr:uid="{A5A966C8-A895-2142-9D9C-4A177559753C}"/>
  <tableColumns count="21">
    <tableColumn id="1" xr3:uid="{086170E0-912A-0046-8C70-71421FDB86CB}" name="Saldo_5Day0" dataDxfId="1861" dataCellStyle="Comma"/>
    <tableColumn id="2" xr3:uid="{C47EE9E0-CEB9-744E-A9B1-030E5081996F}" name="Saldo_5Day1" dataDxfId="1860" dataCellStyle="Comma"/>
    <tableColumn id="3" xr3:uid="{0374466B-D15D-8849-BFAB-F2C39763E33E}" name="Saldo_5Day2" dataDxfId="1859" dataCellStyle="Comma"/>
    <tableColumn id="4" xr3:uid="{3DC4E1AB-5240-2B47-95A1-A9FED5CB7931}" name="Saldo_5Day3" dataDxfId="1858" dataCellStyle="Comma"/>
    <tableColumn id="5" xr3:uid="{AD8D194A-067C-D54B-B1FC-6AA332CE1097}" name="Saldo_5Day4" dataDxfId="1857" dataCellStyle="Comma"/>
    <tableColumn id="6" xr3:uid="{B5DAB107-F4BA-3846-B1DF-1BB15544E5EB}" name="Saldo_5Day5" dataDxfId="1856" dataCellStyle="Comma"/>
    <tableColumn id="7" xr3:uid="{FC981E9A-3BB2-EC42-9BD0-4739A49F449B}" name="Saldo_5Day6" dataDxfId="1855" dataCellStyle="Comma"/>
    <tableColumn id="8" xr3:uid="{0D786F90-14A9-EC46-B54E-55D2023B3BAB}" name="Saldo_5Day7" dataDxfId="1854" dataCellStyle="Comma"/>
    <tableColumn id="9" xr3:uid="{640827C4-D151-714F-9431-310E739241DB}" name="Saldo_5Day8" dataDxfId="1853" dataCellStyle="Comma"/>
    <tableColumn id="10" xr3:uid="{883C6F42-8C48-8A47-A661-A9DC638F12F2}" name="Saldo_5Day9" dataDxfId="1852" dataCellStyle="Comma"/>
    <tableColumn id="11" xr3:uid="{CEF2A3F7-C727-D942-BBAD-594BB418F823}" name="Saldo_5Day10" dataDxfId="1851" dataCellStyle="Comma"/>
    <tableColumn id="12" xr3:uid="{A3DB2142-E94A-AD4D-9220-463878802587}" name="Saldo_5Day11" dataDxfId="1850" dataCellStyle="Comma"/>
    <tableColumn id="13" xr3:uid="{1FFAEF3D-A638-0843-889A-A25ABD8D4445}" name="Saldo_5Day12" dataDxfId="1849" dataCellStyle="Comma"/>
    <tableColumn id="14" xr3:uid="{66353A91-21E4-6345-9E5E-23B2AA7D6228}" name="Saldo_5Day13" dataDxfId="1848" dataCellStyle="Comma"/>
    <tableColumn id="15" xr3:uid="{4FA84C89-1A8F-284D-9C13-78D90BBF6266}" name="Saldo_5Day14" dataDxfId="1847" dataCellStyle="Comma"/>
    <tableColumn id="16" xr3:uid="{AEB3F103-A250-9D40-91AE-588B1AF73D28}" name="Saldo_5Day15" dataDxfId="1846" dataCellStyle="Comma"/>
    <tableColumn id="17" xr3:uid="{89C20C78-7E59-C74D-AF29-1A8CCB46B1D9}" name="Saldo_5Day16" dataDxfId="1845" dataCellStyle="Comma"/>
    <tableColumn id="18" xr3:uid="{44BE309E-DDA6-0F4A-98BD-B8D4F08F3A35}" name="Saldo_5Day17" dataDxfId="1844" dataCellStyle="Comma"/>
    <tableColumn id="19" xr3:uid="{F644A9A2-2953-9D41-B057-FC93AC10643A}" name="Saldo_5Day18" dataDxfId="1843" dataCellStyle="Comma"/>
    <tableColumn id="20" xr3:uid="{913F3E58-BEA0-7047-9081-6EE33487BB80}" name="Saldo_5Day19" dataDxfId="1842" dataCellStyle="Comma"/>
    <tableColumn id="21" xr3:uid="{AF453376-8DDF-764F-B09C-84B72B80BF75}" name="Saldo_5Day20" dataDxfId="184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840" totalsRowDxfId="747"/>
    <tableColumn id="2" xr3:uid="{C0145B90-171D-F843-922B-5308D656256B}" name="Summary1" dataDxfId="1839" totalsRowDxfId="746"/>
    <tableColumn id="3" xr3:uid="{13B89441-86AC-2245-A728-E49F31DB3D6A}" name="Summary2" dataDxfId="1838" totalsRowDxfId="745"/>
    <tableColumn id="4" xr3:uid="{1B918288-DC53-904B-AB84-4C90F09BE4EC}" name="Summary3" dataDxfId="1837" totalsRowDxfId="744"/>
    <tableColumn id="5" xr3:uid="{48DD1F16-0C12-8349-8732-19827F0EAE9F}" name="Summary4" dataDxfId="1836" totalsRowDxfId="743"/>
    <tableColumn id="6" xr3:uid="{D4E4DABC-EA23-ED49-81B2-4BFF2A0772F9}" name="Summary5" dataDxfId="1835" totalsRowDxfId="742"/>
    <tableColumn id="7" xr3:uid="{4C49F7EE-3ECF-174B-A361-EC8BFAA95624}" name="Summary6" dataDxfId="1834" totalsRowDxfId="741" dataCellStyle="Percent"/>
    <tableColumn id="8" xr3:uid="{816A286C-4A21-3144-93B8-B400778D576A}" name="Summary7" dataDxfId="1833" totalsRowDxfId="740"/>
    <tableColumn id="9" xr3:uid="{59E1500E-A932-4840-BA3E-5B3025BB1454}" name="Summary8" dataDxfId="1832" totalsRowDxfId="739"/>
    <tableColumn id="10" xr3:uid="{F96B4C1B-365D-1741-B72A-531258FFE2BC}" name="Summary9" dataDxfId="1831" totalsRowDxfId="738"/>
    <tableColumn id="11" xr3:uid="{77C9D1FE-F025-D54B-8787-3FC4E59E56AD}" name="Summary10" dataDxfId="1830" totalsRowDxfId="737"/>
    <tableColumn id="12" xr3:uid="{47411572-1EC6-254C-9838-49A66022B7E4}" name="Summary11" dataDxfId="1829" totalsRowDxfId="736"/>
    <tableColumn id="13" xr3:uid="{60CF3707-8850-F148-BBF5-A0EE9B808735}" name="Summary12" dataDxfId="1828" totalsRowDxfId="735" dataCellStyle="Comma"/>
    <tableColumn id="14" xr3:uid="{3A0F36B9-4B29-0A4C-A448-D9CF99B8C62F}" name="Summary13" dataDxfId="1827" totalsRowDxfId="734"/>
    <tableColumn id="15" xr3:uid="{C63BF0B5-FDDE-D043-A434-8FF7E3AE8994}" name="Summary14" dataDxfId="1826" totalsRowDxfId="733"/>
    <tableColumn id="16" xr3:uid="{07929D4C-E2BA-E64A-AA43-4BF7D1D5E3A2}" name="Summary15" dataDxfId="1825" totalsRowDxfId="732"/>
    <tableColumn id="17" xr3:uid="{A2E5D0AD-33EE-F140-9570-FEF3580B722F}" name="Summary16" dataDxfId="1824" totalsRowDxfId="731"/>
    <tableColumn id="18" xr3:uid="{379DD2CB-9A5C-D142-A1F0-8F2739E2CFA8}" name="Summary17" dataDxfId="1823" totalsRowDxfId="730" dataCellStyle="Percent"/>
    <tableColumn id="19" xr3:uid="{268245B6-FCB0-084E-A766-46A83AED1DB3}" name="Summary18" dataDxfId="1822" totalsRowDxfId="729" dataCellStyle="Comma"/>
    <tableColumn id="20" xr3:uid="{861CA8D0-B5BD-6F48-80D5-D373641A59B8}" name="Summary19" dataDxfId="1821" totalsRowDxfId="728"/>
    <tableColumn id="21" xr3:uid="{2D6D6470-C27B-9441-BFD7-B5A6B11B21EE}" name="Summary20" dataDxfId="1820" totalsRowDxfId="72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19" dataCellStyle="Percent">
  <autoFilter ref="F1496:Z1590" xr:uid="{BD0B59F9-75A4-6345-9840-A2E778B47C79}"/>
  <tableColumns count="21">
    <tableColumn id="1" xr3:uid="{3DEEB649-1545-504F-B74F-9FE969CBD76A}" name="MarkUp0" dataDxfId="1818" dataCellStyle="Percent"/>
    <tableColumn id="2" xr3:uid="{A6C89CFF-07F2-8B49-AAA7-95B57C6AEA42}" name="MarkUp1" dataDxfId="1817" dataCellStyle="Percent"/>
    <tableColumn id="3" xr3:uid="{80775B53-35F4-1742-A64B-DBC41620A5F8}" name="MarkUp2" dataDxfId="1816" dataCellStyle="Percent"/>
    <tableColumn id="4" xr3:uid="{789F2A95-FF0D-514F-A880-E9C55248174B}" name="MarkUp3" dataDxfId="1815" dataCellStyle="Percent"/>
    <tableColumn id="5" xr3:uid="{DB0D0239-7981-3C47-AD76-C782554E8AB8}" name="MarkUp4" dataDxfId="1814" dataCellStyle="Percent"/>
    <tableColumn id="6" xr3:uid="{544A8C51-585B-F848-8A7B-A1008FDFDF37}" name="MarkUp5" dataDxfId="1813" dataCellStyle="Percent"/>
    <tableColumn id="7" xr3:uid="{A575BF9D-8361-714D-B07E-8D0E262F5FBB}" name="MarkUp6" dataDxfId="1812" dataCellStyle="Percent"/>
    <tableColumn id="8" xr3:uid="{0B8D438E-DFEB-DA4D-8453-53E9B370F907}" name="MarkUp7" dataDxfId="1811" dataCellStyle="Percent"/>
    <tableColumn id="9" xr3:uid="{DA3BFA50-3B0C-844C-8D33-C1F303E0855D}" name="MarkUp8" dataDxfId="1810" dataCellStyle="Percent"/>
    <tableColumn id="10" xr3:uid="{8E2DFA05-ADCD-0240-B8AC-9A068217E1F3}" name="MarkUp9" dataDxfId="1809" dataCellStyle="Percent"/>
    <tableColumn id="11" xr3:uid="{1799051C-A221-0543-BE05-0E219A76BB16}" name="MarkUp10" dataDxfId="1808" dataCellStyle="Percent"/>
    <tableColumn id="12" xr3:uid="{98820823-ACB0-1F49-AA92-A32FD2BAD762}" name="MarkUp11" dataDxfId="1807" dataCellStyle="Percent"/>
    <tableColumn id="13" xr3:uid="{C19E583A-0D28-FB48-9A8A-B5A7CB5484A4}" name="MarkUp12" dataDxfId="1806" dataCellStyle="Percent"/>
    <tableColumn id="14" xr3:uid="{8059EBA1-5F47-CF46-84AB-5A12E88D8D2C}" name="MarkUp13" dataDxfId="1805" dataCellStyle="Percent"/>
    <tableColumn id="15" xr3:uid="{510C91B6-E50C-FC46-BFA2-6964EC87E14B}" name="MarkUp14" dataDxfId="1804" dataCellStyle="Percent"/>
    <tableColumn id="16" xr3:uid="{8C82C0B6-D9ED-CE4B-AED9-78058B4F22DA}" name="MarkUp15" dataDxfId="1803" dataCellStyle="Percent"/>
    <tableColumn id="17" xr3:uid="{1CC24814-7184-0C4B-A764-BAC31484FFD7}" name="MarkUp16" dataDxfId="1802" dataCellStyle="Percent"/>
    <tableColumn id="18" xr3:uid="{254EACA1-0431-EB47-9340-65308D62D404}" name="MarkUp17" dataDxfId="1801" dataCellStyle="Percent"/>
    <tableColumn id="19" xr3:uid="{B63624E4-0107-AE46-B98F-363678F4DBF5}" name="MarkUp18" dataDxfId="1800" dataCellStyle="Percent"/>
    <tableColumn id="20" xr3:uid="{096A92CA-4B2E-E442-A2EC-DE652EE21C06}" name="MarkUp19" dataDxfId="1799" dataCellStyle="Percent"/>
    <tableColumn id="21" xr3:uid="{92E1C85C-4F66-6340-BEBE-C53E1E837A88}" name="MarkUp20" dataDxfId="179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797" dataCellStyle="Percent">
  <autoFilter ref="F1596:Z1689" xr:uid="{D5BEC7A6-EF60-3B46-B9E8-034B7BBF3E15}"/>
  <tableColumns count="21">
    <tableColumn id="1" xr3:uid="{2C2B2823-339F-4D4E-B506-4D9D2FD31170}" name="Sum**2_0" dataDxfId="1796" dataCellStyle="Percent"/>
    <tableColumn id="2" xr3:uid="{63B31B64-D53D-D148-A12E-0035DE733783}" name="Sum**2_1" dataDxfId="1795" dataCellStyle="Percent"/>
    <tableColumn id="3" xr3:uid="{AB7122E0-6AA1-2345-9984-477938E242DE}" name="Sum**2_2" dataDxfId="1794" dataCellStyle="Percent"/>
    <tableColumn id="4" xr3:uid="{C1F1B198-A6E5-6E4B-9EFE-3A79002AA194}" name="Sum**2_3" dataDxfId="1793" dataCellStyle="Percent"/>
    <tableColumn id="5" xr3:uid="{CD8ADFDF-0FAA-2F4B-A5BA-D3744B56DB65}" name="Sum**2_4" dataDxfId="1792" dataCellStyle="Percent"/>
    <tableColumn id="6" xr3:uid="{A773326D-FA9D-F645-8327-6BD976AF582F}" name="Sum**2_5" dataDxfId="1791" dataCellStyle="Percent"/>
    <tableColumn id="7" xr3:uid="{819DBD76-9239-DC4A-9670-B59537B37853}" name="Sum**2_6" dataDxfId="1790" dataCellStyle="Percent"/>
    <tableColumn id="8" xr3:uid="{9E873F49-2374-174D-9563-D76244E18328}" name="Sum**2_7" dataDxfId="1789" dataCellStyle="Percent"/>
    <tableColumn id="9" xr3:uid="{B103D527-25A1-D646-AD0A-2D6D80419144}" name="Sum**2_8" dataDxfId="1788" dataCellStyle="Percent"/>
    <tableColumn id="10" xr3:uid="{96CCA32E-3C73-7142-BF4C-C158F7B37810}" name="Sum**2_9" dataDxfId="1787" dataCellStyle="Percent"/>
    <tableColumn id="11" xr3:uid="{56B7687B-91AF-4445-A28F-2881C7A6A6CD}" name="Sum**2_10" dataDxfId="1786" dataCellStyle="Percent"/>
    <tableColumn id="12" xr3:uid="{DB2A6F66-3621-8846-9226-BC837F3A8607}" name="Sum**2_11" dataDxfId="1785" dataCellStyle="Percent"/>
    <tableColumn id="13" xr3:uid="{AF2CAAB5-0134-4944-A2DF-51F7D4C73924}" name="Sum**2_12" dataDxfId="1784" dataCellStyle="Percent"/>
    <tableColumn id="14" xr3:uid="{96835407-A70C-7447-8F4F-990440ABEC87}" name="Sum**2_13" dataDxfId="1783" dataCellStyle="Percent"/>
    <tableColumn id="15" xr3:uid="{CA0AA75C-43E5-784B-8D61-06F3C41CF8A0}" name="Sum**2_14" dataDxfId="1782" dataCellStyle="Percent"/>
    <tableColumn id="16" xr3:uid="{13A8CBF4-DB9A-B849-8F2C-A0A188E0DF2A}" name="Sum**2_15" dataDxfId="1781" dataCellStyle="Percent"/>
    <tableColumn id="17" xr3:uid="{1F0AAC37-63D2-6F47-A469-FCC7FEF1D822}" name="Sum**2_16" dataDxfId="1780" dataCellStyle="Percent"/>
    <tableColumn id="18" xr3:uid="{A2F60BCE-BEE7-654C-BC93-9A7FA97E5352}" name="Sum**2_17" dataDxfId="1779" dataCellStyle="Percent"/>
    <tableColumn id="19" xr3:uid="{C3C24884-56D0-D04B-B09F-B980FE86E022}" name="Sum**2_18" dataDxfId="1778" dataCellStyle="Percent"/>
    <tableColumn id="20" xr3:uid="{87579DA9-E185-BD4F-B501-5C2BD25EC567}" name="Sum**2_19" dataDxfId="1777" dataCellStyle="Percent"/>
    <tableColumn id="21" xr3:uid="{8C3E0B6F-730F-3540-A789-4533BE6E2F4F}" name="Sum**2_20" dataDxfId="177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75" dataCellStyle="Percent">
  <autoFilter ref="AB1595:AV1689" xr:uid="{E6A8CF0B-7BCE-7A42-AF72-2FEB89DD3A0B}"/>
  <tableColumns count="21">
    <tableColumn id="1" xr3:uid="{9EDCB166-851C-9C48-A224-9B8BFE7FE3EA}" name="Sum**2_0" dataDxfId="1774" dataCellStyle="Percent"/>
    <tableColumn id="2" xr3:uid="{61601C57-E293-4C4A-A5AB-3FE09D2D2FF9}" name="Sum**2_1" dataDxfId="1773" dataCellStyle="Percent"/>
    <tableColumn id="3" xr3:uid="{1C26E27A-CF61-7E4F-9A2A-AF52B8F9FA0A}" name="Sum**2_2" dataDxfId="1772" dataCellStyle="Percent"/>
    <tableColumn id="4" xr3:uid="{75C65365-474A-3D45-ADC6-D2047EA06590}" name="Sum**2_3" dataDxfId="1771" dataCellStyle="Percent"/>
    <tableColumn id="5" xr3:uid="{09B33CCF-A873-244E-AC3B-291C83A0BE67}" name="Sum**2_4" dataDxfId="1770" dataCellStyle="Percent"/>
    <tableColumn id="6" xr3:uid="{9B1510FE-6D6F-5A4A-9B5A-BD71A0794CEE}" name="Sum**2_5" dataDxfId="1769" dataCellStyle="Percent"/>
    <tableColumn id="7" xr3:uid="{31F83491-B3A3-D54A-BA15-B163AC5F2C9A}" name="Sum**2_6" dataDxfId="1768" dataCellStyle="Percent"/>
    <tableColumn id="8" xr3:uid="{9979AA70-2D99-DE49-B7D5-D643B1001152}" name="Sum**2_7" dataDxfId="1767" dataCellStyle="Percent"/>
    <tableColumn id="9" xr3:uid="{56FDE8E4-7BDA-C045-92CE-C96F0478841C}" name="Sum**2_8" dataDxfId="1766" dataCellStyle="Percent"/>
    <tableColumn id="10" xr3:uid="{BF651EAC-5DE6-8C4B-ABC0-7FF266F414FD}" name="Sum**2_9" dataDxfId="1765" dataCellStyle="Percent"/>
    <tableColumn id="11" xr3:uid="{3274233F-09E2-B64E-8CBF-8506F78A99B0}" name="Sum**2_10" dataDxfId="1764" dataCellStyle="Percent"/>
    <tableColumn id="12" xr3:uid="{CD61E0F9-09BC-1745-A795-3F33957E3D3B}" name="Sum**2_11" dataDxfId="1763" dataCellStyle="Percent"/>
    <tableColumn id="13" xr3:uid="{BABFF967-AEF7-3644-A589-7A5B73F2D156}" name="Sum**2_12" dataDxfId="1762" dataCellStyle="Percent"/>
    <tableColumn id="14" xr3:uid="{D196ECB2-3F4E-6544-B4EC-2376A142D915}" name="Sum**2_13" dataDxfId="1761" dataCellStyle="Percent"/>
    <tableColumn id="15" xr3:uid="{4D81CFC7-992B-D642-904A-CBCDCAD97394}" name="Sum**2_14" dataDxfId="1760" dataCellStyle="Percent"/>
    <tableColumn id="16" xr3:uid="{5C315818-8E3C-1848-ABAE-9D4300EDBD1B}" name="Sum**2_15" dataDxfId="1759" dataCellStyle="Percent"/>
    <tableColumn id="17" xr3:uid="{728CDA8F-F9BB-C84B-83D6-434A28B7A69E}" name="Sum**2_16" dataDxfId="1758" dataCellStyle="Percent"/>
    <tableColumn id="18" xr3:uid="{AB73409A-6B6D-6B4B-9F6A-31BD45FAC5D4}" name="Sum**2_17" dataDxfId="1757" dataCellStyle="Percent"/>
    <tableColumn id="19" xr3:uid="{27A4013B-1966-EE44-AF6E-83D9EAC45769}" name="Sum**2_18" dataDxfId="1756" dataCellStyle="Percent"/>
    <tableColumn id="20" xr3:uid="{E4C94DB5-B5B2-DE4C-93AC-18C099042A0A}" name="Sum**2_19" dataDxfId="1755" dataCellStyle="Percent"/>
    <tableColumn id="21" xr3:uid="{8DDFD0E0-45EB-0249-B5F1-B1404A2BB9D0}" name="Sum**2_20" dataDxfId="175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53" totalsRowDxfId="1751" tableBorderDxfId="1752">
  <autoFilter ref="A3:KF71" xr:uid="{6184EC62-F546-EC44-B85F-22666178BACB}"/>
  <tableColumns count="292">
    <tableColumn id="1" xr3:uid="{57623EC6-295D-6C46-8762-F4C1DD08499F}" name="RegIndex" dataDxfId="1750" totalsRowDxfId="1039">
      <calculatedColumnFormula>ROW() - ROW(TabReg[[#Headers],[RegIndex]])</calculatedColumnFormula>
    </tableColumn>
    <tableColumn id="2" xr3:uid="{59C53E03-08BC-7241-A405-B961C9CD4E4C}" name="AAPL" totalsRowFunction="custom" dataDxfId="1749" totalsRowDxfId="1038">
      <totalsRowFormula>COUNT(TabReg[AAPL])</totalsRowFormula>
    </tableColumn>
    <tableColumn id="3" xr3:uid="{E8ED35B7-2399-6041-8311-C19BDE1DDA95}" name="AAPL1" totalsRowFunction="custom" dataDxfId="1748" totalsRowDxfId="1037" dataCellStyle="Comma">
      <totalsRowFormula>COUNT(TabReg[AAPL1])</totalsRowFormula>
    </tableColumn>
    <tableColumn id="4" xr3:uid="{C3865FAF-DC26-3B45-AC2D-579945EE4DE2}" name="AAPL2" totalsRowFunction="custom" dataDxfId="1747" totalsRowDxfId="1036" dataCellStyle="Comma">
      <totalsRowFormula>COUNT(TabReg[AAPL2])</totalsRowFormula>
    </tableColumn>
    <tableColumn id="5" xr3:uid="{58414643-D5EF-DC42-BE18-AFAB1AA967A3}" name="ADEA" totalsRowFunction="custom" dataDxfId="1746" totalsRowDxfId="1035">
      <totalsRowFormula>COUNT(TabReg[ADEA])</totalsRowFormula>
    </tableColumn>
    <tableColumn id="6" xr3:uid="{770722DB-0B2C-4149-8CBF-EBAC14770B02}" name="ADEA1" totalsRowFunction="custom" dataDxfId="1745" totalsRowDxfId="1034" dataCellStyle="Comma">
      <totalsRowFormula>COUNT(TabReg[ADEA1])</totalsRowFormula>
    </tableColumn>
    <tableColumn id="7" xr3:uid="{ADBB0985-AFC7-0A49-AAD9-9FD8A0ADA9E8}" name="ADEA2" totalsRowFunction="custom" dataDxfId="1744" totalsRowDxfId="1033" dataCellStyle="Comma">
      <totalsRowFormula>COUNT(TabReg[ADEA2])</totalsRowFormula>
    </tableColumn>
    <tableColumn id="8" xr3:uid="{F9B8D055-A3B6-6049-AB67-FD35F31EAD12}" name="AET" totalsRowFunction="custom" dataDxfId="1743" totalsRowDxfId="1032">
      <totalsRowFormula>COUNT(TabReg[AET])</totalsRowFormula>
    </tableColumn>
    <tableColumn id="9" xr3:uid="{4F1B47E7-AE09-DE47-9326-7E38373F590D}" name="AET1" totalsRowFunction="custom" dataDxfId="1742" totalsRowDxfId="1031" dataCellStyle="Comma">
      <totalsRowFormula>COUNT(TabReg[AET1])</totalsRowFormula>
    </tableColumn>
    <tableColumn id="10" xr3:uid="{C55D7E50-6E70-8245-AF6D-9B0AF1B842F6}" name="AET2" totalsRowFunction="custom" dataDxfId="1741" totalsRowDxfId="1030" dataCellStyle="Comma">
      <totalsRowFormula>COUNT(TabReg[AET2])</totalsRowFormula>
    </tableColumn>
    <tableColumn id="11" xr3:uid="{75AEAC53-9C89-8F4E-A89E-5819F07855E8}" name="AMZN" totalsRowFunction="custom" dataDxfId="1740" totalsRowDxfId="1029">
      <totalsRowFormula>COUNT(TabReg[AMZN])</totalsRowFormula>
    </tableColumn>
    <tableColumn id="12" xr3:uid="{50DF90F7-5FF8-F84C-9DEF-B56AE90E9FE1}" name="AMZN1" totalsRowFunction="custom" dataDxfId="1739" totalsRowDxfId="1028" dataCellStyle="Comma">
      <totalsRowFormula>COUNT(TabReg[AMZN1])</totalsRowFormula>
    </tableColumn>
    <tableColumn id="13" xr3:uid="{BB3AD602-9B27-A44D-956D-E044A03841B0}" name="AMZN2" totalsRowFunction="custom" dataDxfId="1738" totalsRowDxfId="1027" dataCellStyle="Comma">
      <totalsRowFormula>COUNT(TabReg[AMZN2])</totalsRowFormula>
    </tableColumn>
    <tableColumn id="14" xr3:uid="{49715757-C441-334A-8359-CB03A54D44A0}" name="ALDNE" totalsRowFunction="custom" dataDxfId="1737" totalsRowDxfId="1026" dataCellStyle="Comma">
      <totalsRowFormula>COUNT(TabReg[ALDNE])</totalsRowFormula>
    </tableColumn>
    <tableColumn id="15" xr3:uid="{2367F0AA-874E-0F49-8743-948F4AA0066D}" name="ALDNE1" totalsRowFunction="custom" dataDxfId="1736" totalsRowDxfId="1025" dataCellStyle="Comma">
      <totalsRowFormula>COUNT(TabReg[ALDNE1])</totalsRowFormula>
    </tableColumn>
    <tableColumn id="16" xr3:uid="{136C77A7-D877-524E-A602-4F388B4DC883}" name="ALDNE2" totalsRowFunction="custom" dataDxfId="1735" totalsRowDxfId="1024" dataCellStyle="Comma">
      <totalsRowFormula>COUNT(TabReg[ALDNE2])</totalsRowFormula>
    </tableColumn>
    <tableColumn id="179" xr3:uid="{24648F26-5ACD-B54B-A6CE-ED445344889D}" name="ASML" totalsRowFunction="custom" dataDxfId="1734" totalsRowDxfId="1023" dataCellStyle="Comma">
      <totalsRowFormula>COUNT(TabReg[ASML])</totalsRowFormula>
    </tableColumn>
    <tableColumn id="180" xr3:uid="{4685999F-AD40-C34D-B18F-9AE018200409}" name="ASML1" totalsRowFunction="custom" dataDxfId="1733" totalsRowDxfId="1022" dataCellStyle="Comma">
      <totalsRowFormula>COUNT(TabReg[ASML1])</totalsRowFormula>
    </tableColumn>
    <tableColumn id="181" xr3:uid="{4FFE09BD-40A8-0846-9183-DCBB01B1E7C1}" name="ASML2" totalsRowFunction="custom" dataDxfId="1732" totalsRowDxfId="1021" dataCellStyle="Comma">
      <totalsRowFormula>COUNT(TabReg[ASML2])</totalsRowFormula>
    </tableColumn>
    <tableColumn id="175" xr3:uid="{C078EC90-D9D7-E54A-B14B-6247837CA7D1}" name="AVGO" dataDxfId="1731" totalsRowDxfId="1020" dataCellStyle="Comma"/>
    <tableColumn id="174" xr3:uid="{4907FD99-23B8-0C46-B85B-0B8F78B3E102}" name="AVGO1" dataDxfId="1730" totalsRowDxfId="1019" dataCellStyle="Comma"/>
    <tableColumn id="173" xr3:uid="{BBB39EE6-6F6F-BE4E-ABA4-34B7CD29B270}" name="AVGO2" dataDxfId="1729" totalsRowDxfId="1018" dataCellStyle="Comma"/>
    <tableColumn id="279" xr3:uid="{7779299B-53A0-B24B-931D-BAB9A59FEE4F}" name="AZN" totalsRowFunction="custom" dataDxfId="1728" totalsRowDxfId="1017" dataCellStyle="Comma">
      <totalsRowFormula>COUNT(TabReg[AZN])</totalsRowFormula>
    </tableColumn>
    <tableColumn id="280" xr3:uid="{E931132A-A088-874A-B802-74955F5A51ED}" name="AZN1" totalsRowFunction="custom" dataDxfId="1727" totalsRowDxfId="1016" dataCellStyle="Comma">
      <totalsRowFormula>COUNT(TabReg[AZN1])</totalsRowFormula>
    </tableColumn>
    <tableColumn id="278" xr3:uid="{2DB0600A-9980-454D-B57C-8E1729380840}" name="AZN2" totalsRowFunction="custom" dataDxfId="1726" totalsRowDxfId="1015" dataCellStyle="Comma">
      <totalsRowFormula>COUNT(TabReg[AZN2])</totalsRowFormula>
    </tableColumn>
    <tableColumn id="290" xr3:uid="{3A948DBC-E554-114B-9856-05ED7CFD7F8C}" name="BLDP" totalsRowFunction="custom" dataDxfId="1725" totalsRowDxfId="1014" dataCellStyle="Comma">
      <totalsRowFormula>COUNT(TabReg[BLDP])</totalsRowFormula>
    </tableColumn>
    <tableColumn id="291" xr3:uid="{EBF4CFFB-7F3F-A648-AA96-9F683DEB40C2}" name="BLDP1" totalsRowFunction="custom" dataDxfId="1724" totalsRowDxfId="1013" dataCellStyle="Comma">
      <totalsRowFormula>COUNT(TabReg[BLDP1])</totalsRowFormula>
    </tableColumn>
    <tableColumn id="292" xr3:uid="{DEF375A3-1AEB-1447-AAA1-210FF59FFAB3}" name="BLDP2" totalsRowFunction="custom" dataDxfId="1723" totalsRowDxfId="1012" dataCellStyle="Comma">
      <totalsRowFormula>COUNT(TabReg[BLDP2])</totalsRowFormula>
    </tableColumn>
    <tableColumn id="281" xr3:uid="{3B2EE5F2-7BA3-4944-9A29-0E94A422A457}" name="BMRA" totalsRowFunction="custom" dataDxfId="1722" totalsRowDxfId="1011" dataCellStyle="Comma">
      <totalsRowFormula>COUNT(TabReg[BMRA])</totalsRowFormula>
    </tableColumn>
    <tableColumn id="282" xr3:uid="{7CAF9C5B-8DD1-DC42-8DE9-44E2726437AF}" name="BMRA1" totalsRowFunction="custom" dataDxfId="1721" totalsRowDxfId="1010" dataCellStyle="Comma">
      <totalsRowFormula>COUNT(TabReg[BMRA1])</totalsRowFormula>
    </tableColumn>
    <tableColumn id="283" xr3:uid="{86EB1738-523E-9446-A1FD-BA96C5EEC9D8}" name="BMRA2" totalsRowFunction="custom" dataDxfId="1720" totalsRowDxfId="1009" dataCellStyle="Comma">
      <totalsRowFormula>COUNT(TabReg[BMRA2])</totalsRowFormula>
    </tableColumn>
    <tableColumn id="17" xr3:uid="{6CE9E4BB-2E28-D048-BEC8-1E8072E45461}" name="C" totalsRowFunction="custom" dataDxfId="1719" totalsRowDxfId="1008" dataCellStyle="Comma">
      <totalsRowFormula>COUNT(TabReg[C])</totalsRowFormula>
    </tableColumn>
    <tableColumn id="18" xr3:uid="{9335FB1F-2111-9347-8BEA-BA672F606FE1}" name="C1" totalsRowFunction="custom" dataDxfId="1718" totalsRowDxfId="1007" dataCellStyle="Comma">
      <totalsRowFormula>COUNT(TabReg[C1])</totalsRowFormula>
    </tableColumn>
    <tableColumn id="19" xr3:uid="{47B8B9DB-56E0-4849-B633-AB8E567BC6A2}" name="C2" totalsRowFunction="custom" dataDxfId="1717" totalsRowDxfId="1006" dataCellStyle="Comma">
      <totalsRowFormula>COUNT(TabReg[C2])</totalsRowFormula>
    </tableColumn>
    <tableColumn id="20" xr3:uid="{66BF6E62-9341-8D45-8C56-4B59337C40DE}" name="CSCO" totalsRowFunction="custom" dataDxfId="1716" totalsRowDxfId="1005" dataCellStyle="Comma">
      <totalsRowFormula>COUNT(TabReg[CSCO])</totalsRowFormula>
    </tableColumn>
    <tableColumn id="21" xr3:uid="{0766B374-52D4-2947-BA01-337368F5998F}" name="CSCO1" totalsRowFunction="custom" dataDxfId="1715" totalsRowDxfId="1004" dataCellStyle="Comma">
      <totalsRowFormula>COUNT(TabReg[CSCO1])</totalsRowFormula>
    </tableColumn>
    <tableColumn id="22" xr3:uid="{9342CC24-A8C2-5B40-86F8-AEAC5372742F}" name="CSCO2" totalsRowFunction="custom" dataDxfId="1714" totalsRowDxfId="1003" dataCellStyle="Comma">
      <totalsRowFormula>COUNT(TabReg[CSCO2])</totalsRowFormula>
    </tableColumn>
    <tableColumn id="23" xr3:uid="{3B6738B7-B322-7B41-9D51-6C47F21F1EC2}" name="CVS" totalsRowFunction="custom" dataDxfId="1713" totalsRowDxfId="1002" dataCellStyle="Comma">
      <totalsRowFormula>COUNT(TabReg[CVS])</totalsRowFormula>
    </tableColumn>
    <tableColumn id="24" xr3:uid="{69FD021F-7252-9E48-A9C1-B58E1E44090C}" name="CVS1" totalsRowFunction="custom" dataDxfId="1712" totalsRowDxfId="1001" dataCellStyle="Comma">
      <totalsRowFormula>COUNT(TabReg[CVS1])</totalsRowFormula>
    </tableColumn>
    <tableColumn id="25" xr3:uid="{1459F42D-6ADD-C642-9895-1BEA61E6EB67}" name="CVS2" totalsRowFunction="custom" dataDxfId="1711" totalsRowDxfId="1000" dataCellStyle="Comma">
      <totalsRowFormula>COUNT(TabReg[CVS2])</totalsRowFormula>
    </tableColumn>
    <tableColumn id="26" xr3:uid="{063E938B-FAE4-744E-9F28-8F39125ADC16}" name="DDD" totalsRowFunction="custom" dataDxfId="1710" totalsRowDxfId="999">
      <totalsRowFormula>COUNT(TabReg[DDD])</totalsRowFormula>
    </tableColumn>
    <tableColumn id="27" xr3:uid="{1C7D2960-4D7C-3A43-864A-9D2F2207D012}" name="DDD1" totalsRowFunction="custom" dataDxfId="1709" totalsRowDxfId="998" dataCellStyle="Comma">
      <totalsRowFormula>COUNT(TabReg[DDD1])</totalsRowFormula>
    </tableColumn>
    <tableColumn id="28" xr3:uid="{1BEB1AF9-8C3C-B04C-9A62-E35492C2C4B4}" name="DDD2" totalsRowFunction="custom" dataDxfId="1708" totalsRowDxfId="997" dataCellStyle="Comma">
      <totalsRowFormula>COUNT(TabReg[DDD2])</totalsRowFormula>
    </tableColumn>
    <tableColumn id="29" xr3:uid="{ABF122A5-B5D9-754E-898C-5A469C089337}" name="DIS" totalsRowFunction="custom" dataDxfId="1707" totalsRowDxfId="996">
      <totalsRowFormula>COUNT(TabReg[DIS])</totalsRowFormula>
    </tableColumn>
    <tableColumn id="30" xr3:uid="{7C2A5D2F-4040-8040-8346-E75A957CFF74}" name="DIS1" totalsRowFunction="custom" dataDxfId="1706" totalsRowDxfId="995" dataCellStyle="Comma">
      <totalsRowFormula>COUNT(TabReg[DIS1])</totalsRowFormula>
    </tableColumn>
    <tableColumn id="31" xr3:uid="{3D5AE59B-27C1-0F4D-8490-91E3B001EC18}" name="DIS2" totalsRowFunction="custom" dataDxfId="1705" totalsRowDxfId="994" dataCellStyle="Comma">
      <totalsRowFormula>COUNT(TabReg[DIS2])</totalsRowFormula>
    </tableColumn>
    <tableColumn id="32" xr3:uid="{D9A01F25-6BC9-2A4C-BE7A-8A095A4F4699}" name="DSY" totalsRowFunction="custom" dataDxfId="1704" totalsRowDxfId="993">
      <totalsRowFormula>COUNT(TabReg[DSY])</totalsRowFormula>
    </tableColumn>
    <tableColumn id="33" xr3:uid="{345BC183-7AAE-3C47-BE0D-B82379F2CAE1}" name="DSY1" totalsRowFunction="custom" dataDxfId="1703" totalsRowDxfId="992" dataCellStyle="Comma">
      <totalsRowFormula>COUNT(TabReg[DSY1])</totalsRowFormula>
    </tableColumn>
    <tableColumn id="34" xr3:uid="{25CD66A3-4CD6-E742-B453-45470819DC16}" name="DSY2" totalsRowFunction="custom" dataDxfId="1702" totalsRowDxfId="991" dataCellStyle="Comma">
      <totalsRowFormula>COUNT(TabReg[DSY2])</totalsRowFormula>
    </tableColumn>
    <tableColumn id="35" xr3:uid="{D83AFDCF-42BD-564D-9427-1D78C6682439}" name="DVA" totalsRowFunction="custom" dataDxfId="1701" totalsRowDxfId="990">
      <totalsRowFormula>COUNT(TabReg[DVA])</totalsRowFormula>
    </tableColumn>
    <tableColumn id="36" xr3:uid="{C061890B-B5E9-6841-8038-940695CA8CF1}" name="DVA1" totalsRowFunction="custom" dataDxfId="1700" totalsRowDxfId="989" dataCellStyle="Comma">
      <totalsRowFormula>COUNT(TabReg[DVA1])</totalsRowFormula>
    </tableColumn>
    <tableColumn id="37" xr3:uid="{BDA00239-5392-EB47-861F-6CC9421DE4C2}" name="DVA2" totalsRowFunction="custom" dataDxfId="1699" totalsRowDxfId="988" dataCellStyle="Comma">
      <totalsRowFormula>COUNT(TabReg[DVA2])</totalsRowFormula>
    </tableColumn>
    <tableColumn id="38" xr3:uid="{EAB6CDF7-DCC5-3947-82F8-B20B36657868}" name="DXC" totalsRowFunction="custom" dataDxfId="1698" totalsRowDxfId="987">
      <totalsRowFormula>COUNT(TabReg[DXC])</totalsRowFormula>
    </tableColumn>
    <tableColumn id="39" xr3:uid="{70295CBC-7FD4-C542-97C0-076D2DBB8560}" name="DXC1" totalsRowFunction="custom" dataDxfId="1697" totalsRowDxfId="986" dataCellStyle="Comma">
      <totalsRowFormula>COUNT(TabReg[DXC1])</totalsRowFormula>
    </tableColumn>
    <tableColumn id="40" xr3:uid="{FD803DE8-0F34-1F4F-B4CA-C142B6124013}" name="DXC2" totalsRowFunction="custom" dataDxfId="1696" totalsRowDxfId="985" dataCellStyle="Comma">
      <totalsRowFormula>COUNT(TabReg[DXC2])</totalsRowFormula>
    </tableColumn>
    <tableColumn id="41" xr3:uid="{883A6563-5D30-3647-A642-03C1D2587F09}" name="EOAN" totalsRowFunction="custom" dataDxfId="1695" totalsRowDxfId="984">
      <totalsRowFormula>COUNT(TabReg[EOAN])</totalsRowFormula>
    </tableColumn>
    <tableColumn id="42" xr3:uid="{DA9DDAAE-CAB2-6143-95E1-1416DF9923B1}" name="EOAN1" totalsRowFunction="custom" dataDxfId="1694" totalsRowDxfId="983" dataCellStyle="Comma">
      <totalsRowFormula>COUNT(TabReg[EOAN1])</totalsRowFormula>
    </tableColumn>
    <tableColumn id="43" xr3:uid="{313E3763-ACA8-6547-84D3-3905F0AEFB64}" name="EOAN2" totalsRowFunction="custom" dataDxfId="1693" totalsRowDxfId="982" dataCellStyle="Comma">
      <totalsRowFormula>COUNT(TabReg[EOAN2])</totalsRowFormula>
    </tableColumn>
    <tableColumn id="44" xr3:uid="{DE961D13-327B-554F-B7CF-C73C3AEF6BBD}" name="EPIX" totalsRowFunction="custom" dataDxfId="1692" totalsRowDxfId="981">
      <totalsRowFormula>COUNT(TabReg[EPIX])</totalsRowFormula>
    </tableColumn>
    <tableColumn id="45" xr3:uid="{6C6AE2AF-0CFC-044D-B320-623532E243D7}" name="EPIX1" totalsRowFunction="custom" dataDxfId="1691" totalsRowDxfId="980" dataCellStyle="Comma">
      <totalsRowFormula>COUNT(TabReg[EPIX1])</totalsRowFormula>
    </tableColumn>
    <tableColumn id="46" xr3:uid="{A85AEFAE-0C46-2342-A2A0-03C1C03F2383}" name="EPIX2" totalsRowFunction="custom" dataDxfId="1690" totalsRowDxfId="979" dataCellStyle="Comma">
      <totalsRowFormula>COUNT(TabReg[EPIX2])</totalsRowFormula>
    </tableColumn>
    <tableColumn id="47" xr3:uid="{1034943A-F82F-A944-8F7E-1E4A894BCAF1}" name="GM" totalsRowFunction="custom" dataDxfId="1689" totalsRowDxfId="978">
      <totalsRowFormula>COUNT(TabReg[GM])</totalsRowFormula>
    </tableColumn>
    <tableColumn id="48" xr3:uid="{51DE31AC-13D3-CD46-B5FE-5DA3D9A31D71}" name="GM1" totalsRowFunction="custom" dataDxfId="1688" totalsRowDxfId="977" dataCellStyle="Comma">
      <totalsRowFormula>COUNT(TabReg[GM1])</totalsRowFormula>
    </tableColumn>
    <tableColumn id="49" xr3:uid="{574522F8-74D0-F04C-86A4-21E8FF51BAF4}" name="GM2" totalsRowFunction="custom" dataDxfId="1687" totalsRowDxfId="976" dataCellStyle="Comma">
      <totalsRowFormula>COUNT(TabReg[GM2])</totalsRowFormula>
    </tableColumn>
    <tableColumn id="50" xr3:uid="{F1F680B7-6221-4B43-9EEC-42EADC72535E}" name="HPE" totalsRowFunction="custom" dataDxfId="1686" totalsRowDxfId="975">
      <totalsRowFormula>COUNT(TabReg[HPE])</totalsRowFormula>
    </tableColumn>
    <tableColumn id="51" xr3:uid="{A794E8F2-2178-E945-A531-C9DEAC87C0CF}" name="HPE1" totalsRowFunction="custom" dataDxfId="1685" totalsRowDxfId="974" dataCellStyle="Comma">
      <totalsRowFormula>COUNT(TabReg[HPE1])</totalsRowFormula>
    </tableColumn>
    <tableColumn id="52" xr3:uid="{74900C8F-AF95-EF44-8790-FF51D716DB9C}" name="HPE2" totalsRowFunction="custom" dataDxfId="1684" totalsRowDxfId="973" dataCellStyle="Comma">
      <totalsRowFormula>COUNT(TabReg[HPE2])</totalsRowFormula>
    </tableColumn>
    <tableColumn id="53" xr3:uid="{9E4C7D64-DCA6-8149-AAA3-41838EBEED0F}" name="HPQ" totalsRowFunction="custom" dataDxfId="1683" totalsRowDxfId="972">
      <totalsRowFormula>COUNT(TabReg[HPQ])</totalsRowFormula>
    </tableColumn>
    <tableColumn id="54" xr3:uid="{3322AA64-E865-144B-80CB-759A3279236E}" name="HPQ1" totalsRowFunction="custom" dataDxfId="1682" totalsRowDxfId="971" dataCellStyle="Comma">
      <totalsRowFormula>COUNT(TabReg[HPQ1])</totalsRowFormula>
    </tableColumn>
    <tableColumn id="55" xr3:uid="{94334F80-D1DF-404A-B3D8-EF0FA062E0F9}" name="HPQ2" totalsRowFunction="custom" dataDxfId="1681" totalsRowDxfId="970" dataCellStyle="Comma">
      <totalsRowFormula>COUNT(TabReg[HPQ2])</totalsRowFormula>
    </tableColumn>
    <tableColumn id="284" xr3:uid="{B51A72A3-F030-9F40-92FE-BF02BB2A5D59}" name="IAG" totalsRowFunction="custom" dataDxfId="1680" totalsRowDxfId="969">
      <totalsRowFormula>COUNT(TabReg[IAG])</totalsRowFormula>
    </tableColumn>
    <tableColumn id="285" xr3:uid="{CEA5A13B-039C-444A-8A33-BDB427ADC196}" name="IAG1" totalsRowFunction="custom" dataDxfId="1679" totalsRowDxfId="968" dataCellStyle="Comma">
      <totalsRowFormula>COUNT(TabReg[IAG1])</totalsRowFormula>
    </tableColumn>
    <tableColumn id="286" xr3:uid="{2E05A3E4-533D-F646-8DBA-FDCA0D064519}" name="IAG2" totalsRowFunction="custom" dataDxfId="1678" totalsRowDxfId="967" dataCellStyle="Comma">
      <totalsRowFormula>COUNT(TabReg[IAG2])</totalsRowFormula>
    </tableColumn>
    <tableColumn id="56" xr3:uid="{6F12E7F1-8AF1-1846-AF5B-31B60034E0D7}" name="KR" totalsRowFunction="custom" dataDxfId="1677" totalsRowDxfId="966">
      <totalsRowFormula>COUNT(TabReg[KR])</totalsRowFormula>
    </tableColumn>
    <tableColumn id="57" xr3:uid="{5BEC4E93-146D-7245-8EDE-093807DDEE21}" name="KR1" totalsRowFunction="custom" dataDxfId="1676" totalsRowDxfId="965" dataCellStyle="Comma">
      <totalsRowFormula>COUNT(TabReg[KR1])</totalsRowFormula>
    </tableColumn>
    <tableColumn id="58" xr3:uid="{717517AC-D851-A04B-9414-52C005882D84}" name="KR2" totalsRowFunction="custom" dataDxfId="1675" totalsRowDxfId="964" dataCellStyle="Comma">
      <totalsRowFormula>COUNT(TabReg[KR2])</totalsRowFormula>
    </tableColumn>
    <tableColumn id="59" xr3:uid="{D021B57D-07DD-E947-B756-65EFC624E3F3}" name="LNSR" totalsRowFunction="custom" dataDxfId="1674" totalsRowDxfId="963">
      <totalsRowFormula>COUNT(TabReg[LNSR])</totalsRowFormula>
    </tableColumn>
    <tableColumn id="60" xr3:uid="{66BE0145-D170-4D49-8DAC-3456350BE6D9}" name="LNSR1" totalsRowFunction="custom" dataDxfId="1673" totalsRowDxfId="962" dataCellStyle="Comma">
      <totalsRowFormula>COUNT(TabReg[LNSR1])</totalsRowFormula>
    </tableColumn>
    <tableColumn id="61" xr3:uid="{7AD7594E-BCF1-7E48-8728-03B525428275}" name="LNSR2" totalsRowFunction="custom" dataDxfId="1672" totalsRowDxfId="961" dataCellStyle="Comma">
      <totalsRowFormula>COUNT(TabReg[LNSR2])</totalsRowFormula>
    </tableColumn>
    <tableColumn id="62" xr3:uid="{43377BA1-60BD-EE40-894C-18287FDB1B16}" name="LUMN" totalsRowFunction="custom" dataDxfId="1671" totalsRowDxfId="960">
      <totalsRowFormula>COUNT(TabReg[LUMN])</totalsRowFormula>
    </tableColumn>
    <tableColumn id="63" xr3:uid="{AD8D0B7B-217E-934B-A293-F7C63FBED141}" name="LUMN1" totalsRowFunction="custom" dataDxfId="1670" totalsRowDxfId="959" dataCellStyle="Comma">
      <totalsRowFormula>COUNT(TabReg[LUMN1])</totalsRowFormula>
    </tableColumn>
    <tableColumn id="64" xr3:uid="{A870C284-0CA4-AE40-9EE1-3AB29BC5D4F3}" name="LUMN2" totalsRowFunction="custom" dataDxfId="1669" totalsRowDxfId="958" dataCellStyle="Comma">
      <totalsRowFormula>COUNT(TabReg[LUMN2])</totalsRowFormula>
    </tableColumn>
    <tableColumn id="65" xr3:uid="{E275E28D-3757-9044-A4A4-D99F5D566005}" name="MRNA" totalsRowFunction="custom" dataDxfId="1668" totalsRowDxfId="957">
      <totalsRowFormula>COUNT(TabReg[MRNA])</totalsRowFormula>
    </tableColumn>
    <tableColumn id="66" xr3:uid="{6AD855FC-9BBF-C445-985D-CA7838F8FD2D}" name="MRNA1" totalsRowFunction="custom" dataDxfId="1667" totalsRowDxfId="956" dataCellStyle="Comma">
      <totalsRowFormula>COUNT(TabReg[MRNA1])</totalsRowFormula>
    </tableColumn>
    <tableColumn id="67" xr3:uid="{3068B037-08B2-D448-9549-6A149801D195}" name="MRNA2" totalsRowFunction="custom" dataDxfId="1666" totalsRowDxfId="955" dataCellStyle="Comma">
      <totalsRowFormula>COUNT(TabReg[MRNA2])</totalsRowFormula>
    </tableColumn>
    <tableColumn id="68" xr3:uid="{49549E71-6C51-4A4C-B492-0153C310953B}" name="MSFT" totalsRowFunction="custom" dataDxfId="1665" totalsRowDxfId="954">
      <totalsRowFormula>COUNT(TabReg[MSFT])</totalsRowFormula>
    </tableColumn>
    <tableColumn id="69" xr3:uid="{8DF195BA-794A-0A40-8685-FAE62977224A}" name="MSFT1" totalsRowFunction="custom" dataDxfId="1664" totalsRowDxfId="953" dataCellStyle="Comma">
      <totalsRowFormula>COUNT(TabReg[MSFT1])</totalsRowFormula>
    </tableColumn>
    <tableColumn id="70" xr3:uid="{E7B650AE-A343-1F4D-B438-EAF54796762D}" name="MSFT2" totalsRowFunction="custom" dataDxfId="1663" totalsRowDxfId="952" dataCellStyle="Comma">
      <totalsRowFormula>COUNT(TabReg[MSFT2])</totalsRowFormula>
    </tableColumn>
    <tableColumn id="71" xr3:uid="{4607C2AF-82CF-2243-A48D-A39169CBA57A}" name="NEE" totalsRowFunction="custom" dataDxfId="1662" totalsRowDxfId="951">
      <totalsRowFormula>COUNT(TabReg[NEE])</totalsRowFormula>
    </tableColumn>
    <tableColumn id="72" xr3:uid="{5D4EB61A-7397-9E47-8536-E31BAAA24355}" name="NEE1" totalsRowFunction="custom" dataDxfId="1661" totalsRowDxfId="950" dataCellStyle="Comma">
      <totalsRowFormula>COUNT(TabReg[NEE1])</totalsRowFormula>
    </tableColumn>
    <tableColumn id="73" xr3:uid="{B6AABF8F-F7D4-BB41-AAD4-AFCC47585858}" name="NEE2" totalsRowFunction="custom" dataDxfId="1660" totalsRowDxfId="949" dataCellStyle="Comma">
      <totalsRowFormula>COUNT(TabReg[NEE2])</totalsRowFormula>
    </tableColumn>
    <tableColumn id="74" xr3:uid="{52882C01-3B38-C744-BF22-E05F01808FEE}" name="NEM" totalsRowFunction="custom" dataDxfId="1659" totalsRowDxfId="948">
      <totalsRowFormula>COUNT(TabReg[NEM])</totalsRowFormula>
    </tableColumn>
    <tableColumn id="75" xr3:uid="{24398854-C209-6C4B-9B66-920EB4C8B544}" name="NEM1" totalsRowFunction="custom" dataDxfId="1658" totalsRowDxfId="947" dataCellStyle="Comma">
      <totalsRowFormula>COUNT(TabReg[NEM1])</totalsRowFormula>
    </tableColumn>
    <tableColumn id="76" xr3:uid="{3597365E-AEEA-6047-A23F-2848214BCC19}" name="NEM2" totalsRowFunction="custom" dataDxfId="1657" totalsRowDxfId="946" dataCellStyle="Comma">
      <totalsRowFormula>COUNT(TabReg[NEM2])</totalsRowFormula>
    </tableColumn>
    <tableColumn id="77" xr3:uid="{4BD1BB60-3B6E-B547-9FE0-2B384EFF0910}" name="NFLX" totalsRowFunction="custom" dataDxfId="1656" totalsRowDxfId="945">
      <totalsRowFormula>COUNT(TabReg[NFLX])</totalsRowFormula>
    </tableColumn>
    <tableColumn id="78" xr3:uid="{CAF9351A-3A29-0D44-B1EE-3271D7689AFA}" name="NFLX1" totalsRowFunction="custom" dataDxfId="1655" totalsRowDxfId="944" dataCellStyle="Comma">
      <totalsRowFormula>COUNT(TabReg[NFLX1])</totalsRowFormula>
    </tableColumn>
    <tableColumn id="79" xr3:uid="{0510658C-3791-4748-BD84-8C9883EE2448}" name="NFLX2" totalsRowFunction="custom" dataDxfId="1654" totalsRowDxfId="943" dataCellStyle="Comma">
      <totalsRowFormula>COUNT(TabReg[NFLX2])</totalsRowFormula>
    </tableColumn>
    <tableColumn id="80" xr3:uid="{442BD350-9075-D64B-8A88-64DCBE51B30A}" name="NOTE" totalsRowFunction="custom" dataDxfId="1653" totalsRowDxfId="942">
      <totalsRowFormula>COUNT(TabReg[NOTE])</totalsRowFormula>
    </tableColumn>
    <tableColumn id="81" xr3:uid="{6DE1FDFB-FFF4-AC4C-AF68-9F7F0CF3B558}" name="NOTE1" totalsRowFunction="custom" dataDxfId="1652" totalsRowDxfId="941" dataCellStyle="Comma">
      <totalsRowFormula>COUNT(TabReg[NOTE1])</totalsRowFormula>
    </tableColumn>
    <tableColumn id="82" xr3:uid="{DE24F44E-8FA3-B048-82A8-E77F97825CA4}" name="NOTE2" totalsRowFunction="custom" dataDxfId="1651" totalsRowDxfId="940" dataCellStyle="Comma">
      <totalsRowFormula>COUNT(TabReg[NOTE2])</totalsRowFormula>
    </tableColumn>
    <tableColumn id="83" xr3:uid="{9F6B78F2-DBBC-1A46-A62D-57E0901EF550}" name="PAAS" totalsRowFunction="custom" dataDxfId="1650" totalsRowDxfId="939">
      <totalsRowFormula>COUNT(TabReg[PAAS])</totalsRowFormula>
    </tableColumn>
    <tableColumn id="84" xr3:uid="{0C908565-3389-EC4E-A6AB-52D31DD4689D}" name="PAAS1" totalsRowFunction="custom" dataDxfId="1649" totalsRowDxfId="938" dataCellStyle="Comma">
      <totalsRowFormula>COUNT(TabReg[PAAS1])</totalsRowFormula>
    </tableColumn>
    <tableColumn id="85" xr3:uid="{2B626666-3F4C-DA47-9281-BDA5E66093CD}" name="PAAS2" totalsRowFunction="custom" dataDxfId="1648" totalsRowDxfId="937" dataCellStyle="Comma">
      <totalsRowFormula>COUNT(TabReg[PAAS2])</totalsRowFormula>
    </tableColumn>
    <tableColumn id="86" xr3:uid="{F4E3303B-0E98-4C4C-AE0B-E64934CC95A6}" name="PROF" totalsRowFunction="custom" dataDxfId="1647" totalsRowDxfId="936">
      <totalsRowFormula>COUNT(TabReg[PROF])</totalsRowFormula>
    </tableColumn>
    <tableColumn id="87" xr3:uid="{DE03D08F-9F3C-D449-A3B5-8748D00BFE01}" name="PROF1" totalsRowFunction="custom" dataDxfId="1646" totalsRowDxfId="935" dataCellStyle="Comma">
      <totalsRowFormula>COUNT(TabReg[PROF1])</totalsRowFormula>
    </tableColumn>
    <tableColumn id="88" xr3:uid="{3569531C-2EA3-5B48-A18A-1DCF94D98401}" name="PROF2" totalsRowFunction="custom" dataDxfId="1645" totalsRowDxfId="934" dataCellStyle="Comma">
      <totalsRowFormula>COUNT(TabReg[PROF2])</totalsRowFormula>
    </tableColumn>
    <tableColumn id="89" xr3:uid="{75113B95-6171-E140-BB9D-63439FA70099}" name="POET" totalsRowFunction="custom" dataDxfId="1644" totalsRowDxfId="933">
      <totalsRowFormula>COUNT(TabReg[POET])</totalsRowFormula>
    </tableColumn>
    <tableColumn id="90" xr3:uid="{83152C3B-8CD6-B143-9EB4-93109EC82770}" name="POET1" totalsRowFunction="custom" dataDxfId="1643" totalsRowDxfId="932" dataCellStyle="Comma">
      <totalsRowFormula>COUNT(TabReg[POET1])</totalsRowFormula>
    </tableColumn>
    <tableColumn id="91" xr3:uid="{3E7BB71D-2688-9E47-A610-5D73CD9AA787}" name="POET2" totalsRowFunction="custom" dataDxfId="1642" totalsRowDxfId="931" dataCellStyle="Comma">
      <totalsRowFormula>COUNT(TabReg[POET2])</totalsRowFormula>
    </tableColumn>
    <tableColumn id="92" xr3:uid="{CE5B0666-9EC2-054D-AFC3-C980131F81B8}" name="PW" totalsRowFunction="custom" dataDxfId="1641" totalsRowDxfId="930">
      <totalsRowFormula>COUNT(TabReg[PW])</totalsRowFormula>
    </tableColumn>
    <tableColumn id="93" xr3:uid="{0E0F1866-7C84-6648-9FED-367E22A8B639}" name="PW1" totalsRowFunction="custom" dataDxfId="1640" totalsRowDxfId="929" dataCellStyle="Comma">
      <totalsRowFormula>COUNT(TabReg[PW1])</totalsRowFormula>
    </tableColumn>
    <tableColumn id="94" xr3:uid="{73BAB3D4-5375-1246-9E6A-2A0B4994EC3C}" name="PW2" totalsRowFunction="custom" dataDxfId="1639" totalsRowDxfId="928" dataCellStyle="Comma">
      <totalsRowFormula>COUNT(TabReg[PW2])</totalsRowFormula>
    </tableColumn>
    <tableColumn id="95" xr3:uid="{62667957-E2C9-3A47-8AEA-85E8FB7BF330}" name="RIGL" totalsRowFunction="custom" dataDxfId="1638" totalsRowDxfId="927">
      <totalsRowFormula>COUNT(TabReg[RIGL])</totalsRowFormula>
    </tableColumn>
    <tableColumn id="96" xr3:uid="{8F4D9886-9333-4148-B2C7-5C81493AE4BD}" name="RIGL1" totalsRowFunction="custom" dataDxfId="1637" totalsRowDxfId="926" dataCellStyle="Comma">
      <totalsRowFormula>COUNT(TabReg[RIGL1])</totalsRowFormula>
    </tableColumn>
    <tableColumn id="97" xr3:uid="{680094D7-06F8-524C-BA76-746BA0D1D205}" name="RIGL2" totalsRowFunction="custom" dataDxfId="1636" totalsRowDxfId="925" dataCellStyle="Comma">
      <totalsRowFormula>COUNT(TabReg[RIGL2])</totalsRowFormula>
    </tableColumn>
    <tableColumn id="98" xr3:uid="{D886DD55-C3E7-634E-8462-B3FD2D56434A}" name="RWE" totalsRowFunction="custom" dataDxfId="1635" totalsRowDxfId="924">
      <totalsRowFormula>COUNT(TabReg[RWE])</totalsRowFormula>
    </tableColumn>
    <tableColumn id="99" xr3:uid="{0A4DDF35-0DBD-7440-B2AE-2C35740FECF2}" name="RWE1" totalsRowFunction="custom" dataDxfId="1634" totalsRowDxfId="923" dataCellStyle="Comma">
      <totalsRowFormula>COUNT(TabReg[RWE1])</totalsRowFormula>
    </tableColumn>
    <tableColumn id="100" xr3:uid="{6A68AE46-0376-A040-8013-9EF9BEF52B13}" name="RWE2" totalsRowFunction="custom" dataDxfId="1633" totalsRowDxfId="922" dataCellStyle="Comma">
      <totalsRowFormula>COUNT(TabReg[RWE2])</totalsRowFormula>
    </tableColumn>
    <tableColumn id="185" xr3:uid="{DE00E83F-2920-024F-B423-12D5FAE83151}" name="SAP" totalsRowFunction="custom" dataDxfId="1632" totalsRowDxfId="921">
      <totalsRowFormula>COUNT(TabReg[SAP])</totalsRowFormula>
    </tableColumn>
    <tableColumn id="186" xr3:uid="{3F10E388-7AB3-E043-80E3-1DED6BD713F1}" name="SAP1" totalsRowFunction="custom" dataDxfId="1631" totalsRowDxfId="920" dataCellStyle="Comma">
      <totalsRowFormula>COUNT(TabReg[SAP1])</totalsRowFormula>
    </tableColumn>
    <tableColumn id="187" xr3:uid="{E8D0D7A6-83F5-A64B-96E4-6B51993BBD00}" name="SAP2" totalsRowFunction="custom" dataDxfId="1630" totalsRowDxfId="919">
      <totalsRowFormula>COUNT(TabReg[SAP2])</totalsRowFormula>
    </tableColumn>
    <tableColumn id="188" xr3:uid="{C8262558-0B27-4A44-BF9A-0898AD5C5095}" name="SHECY" totalsRowFunction="custom" dataDxfId="1629" totalsRowDxfId="918">
      <totalsRowFormula>COUNT(TabReg[SHECY])</totalsRowFormula>
    </tableColumn>
    <tableColumn id="189" xr3:uid="{2C6CC351-BB1F-AA4A-860C-3C1D2C50A4FC}" name="SHECY1" totalsRowFunction="custom" dataDxfId="1628" totalsRowDxfId="917" dataCellStyle="Comma">
      <totalsRowFormula>COUNT(TabReg[SHECY1])</totalsRowFormula>
    </tableColumn>
    <tableColumn id="190" xr3:uid="{98889618-47DC-2149-B0F2-6618201B43B0}" name="SHECY2" totalsRowFunction="custom" dataDxfId="1627" totalsRowDxfId="916">
      <totalsRowFormula>COUNT(TabReg[SHECY2])</totalsRowFormula>
    </tableColumn>
    <tableColumn id="101" xr3:uid="{521C5459-0F23-5347-9B6A-EDC0A3E3BC25}" name="SSYS" totalsRowFunction="custom" dataDxfId="1626" totalsRowDxfId="915">
      <totalsRowFormula>COUNT(TabReg[SSYS])</totalsRowFormula>
    </tableColumn>
    <tableColumn id="102" xr3:uid="{6FB8136B-6631-984D-9D04-2A5E527DD95D}" name="SSYS1" totalsRowFunction="custom" dataDxfId="1625" totalsRowDxfId="914" dataCellStyle="Comma">
      <totalsRowFormula>COUNT(TabReg[SSYS1])</totalsRowFormula>
    </tableColumn>
    <tableColumn id="103" xr3:uid="{913E48BF-4356-634C-ADC3-621D146F4A17}" name="SSYS2" totalsRowFunction="custom" dataDxfId="1624" totalsRowDxfId="913" dataCellStyle="Comma">
      <totalsRowFormula>COUNT(TabReg[SSYS2])</totalsRowFormula>
    </tableColumn>
    <tableColumn id="104" xr3:uid="{2456B9BF-4D21-D54C-A793-6973577C34DE}" name="TSLA" totalsRowFunction="custom" dataDxfId="1623" totalsRowDxfId="912">
      <totalsRowFormula>COUNT(TabReg[TSLA])</totalsRowFormula>
    </tableColumn>
    <tableColumn id="105" xr3:uid="{B8E3C6CF-2410-9448-99CC-EA470C412ADB}" name="TSLA1" totalsRowFunction="custom" dataDxfId="1622" totalsRowDxfId="911" dataCellStyle="Comma">
      <totalsRowFormula>COUNT(TabReg[TSLA1])</totalsRowFormula>
    </tableColumn>
    <tableColumn id="106" xr3:uid="{6DABB6B4-568C-E242-BA9A-66B1823D06FB}" name="TSLA2" totalsRowFunction="custom" dataDxfId="1621" totalsRowDxfId="910" dataCellStyle="Comma">
      <totalsRowFormula>COUNT(TabReg[TSLA2])</totalsRowFormula>
    </tableColumn>
    <tableColumn id="107" xr3:uid="{7B18E74E-1F96-DE49-A713-7E8C042E7F88}" name="TSM" totalsRowFunction="custom" dataDxfId="1620" totalsRowDxfId="909">
      <totalsRowFormula>COUNT(TabReg[TSM])</totalsRowFormula>
    </tableColumn>
    <tableColumn id="108" xr3:uid="{D12190D1-9044-9141-ADD8-0871FA1688C0}" name="TSM1" totalsRowFunction="custom" dataDxfId="1619" totalsRowDxfId="908" dataCellStyle="Comma">
      <totalsRowFormula>COUNT(TabReg[TSM1])</totalsRowFormula>
    </tableColumn>
    <tableColumn id="109" xr3:uid="{1B66B6A6-B718-8F42-98E0-CD76F0D5A829}" name="TSM2" totalsRowFunction="custom" dataDxfId="1618" totalsRowDxfId="907" dataCellStyle="Comma">
      <totalsRowFormula>COUNT(TabReg[TSM2])</totalsRowFormula>
    </tableColumn>
    <tableColumn id="110" xr3:uid="{1A945ACE-273D-734A-8C83-77BB5E8319BD}" name="UN0" totalsRowFunction="custom" dataDxfId="1617" totalsRowDxfId="906">
      <totalsRowFormula>COUNT(TabReg[UN0])</totalsRowFormula>
    </tableColumn>
    <tableColumn id="111" xr3:uid="{3DA9E56D-F97D-F74D-9B25-778FFC4532B6}" name="UN01" totalsRowFunction="custom" dataDxfId="1616" totalsRowDxfId="905" dataCellStyle="Comma">
      <totalsRowFormula>COUNT(TabReg[UN01])</totalsRowFormula>
    </tableColumn>
    <tableColumn id="112" xr3:uid="{D83DF0EE-56BB-804E-88D8-BCDE3B64BC7E}" name="UN02" totalsRowFunction="custom" dataDxfId="1615" totalsRowDxfId="904" dataCellStyle="Comma">
      <totalsRowFormula>COUNT(TabReg[UN02])</totalsRowFormula>
    </tableColumn>
    <tableColumn id="113" xr3:uid="{AB6DA1FE-83BC-8C44-AE28-39191AE0A338}" name="UNIT" totalsRowFunction="custom" dataDxfId="1614" totalsRowDxfId="903">
      <totalsRowFormula>COUNT(TabReg[UNIT])</totalsRowFormula>
    </tableColumn>
    <tableColumn id="114" xr3:uid="{C4F3FB31-D6F1-2447-8736-7372F6D4C91C}" name="UNIT1" totalsRowFunction="custom" dataDxfId="1613" totalsRowDxfId="902" dataCellStyle="Comma">
      <totalsRowFormula>COUNT(TabReg[UNIT1])</totalsRowFormula>
    </tableColumn>
    <tableColumn id="115" xr3:uid="{AB5F6294-8139-4A49-8631-32C384FB1DBC}" name="UNIT2" totalsRowFunction="custom" dataDxfId="1612" totalsRowDxfId="901" dataCellStyle="Comma">
      <totalsRowFormula>COUNT(TabReg[UNIT2])</totalsRowFormula>
    </tableColumn>
    <tableColumn id="191" xr3:uid="{AD95F93D-62BB-8646-881A-FDCF1F4203E3}" name="Free" totalsRowFunction="custom" dataDxfId="1611" totalsRowDxfId="900">
      <totalsRowFormula>COUNT(TabReg[Free])</totalsRowFormula>
    </tableColumn>
    <tableColumn id="192" xr3:uid="{751C8CA5-9FC6-6144-8379-1FF0AC9B4A7C}" name="Free1" totalsRowFunction="custom" dataDxfId="1610" totalsRowDxfId="899" dataCellStyle="Comma">
      <totalsRowFormula>COUNT(TabReg[Free1])</totalsRowFormula>
    </tableColumn>
    <tableColumn id="193" xr3:uid="{37F82F33-F30B-EA48-B816-29C8A5F9F7B9}" name="Free2" totalsRowFunction="custom" dataDxfId="1609" totalsRowDxfId="898">
      <totalsRowFormula>COUNT(TabReg[Free2])</totalsRowFormula>
    </tableColumn>
    <tableColumn id="233" xr3:uid="{5C4BF384-1740-CB49-8025-B346D90C0917}" name="VLVLY" totalsRowFunction="custom" dataDxfId="1608" totalsRowDxfId="897">
      <totalsRowFormula>COUNT(TabReg[VLVLY])</totalsRowFormula>
    </tableColumn>
    <tableColumn id="234" xr3:uid="{6B24C139-13D4-CD4F-AA1F-A361E6F76F4F}" name="VLVLY1" totalsRowFunction="custom" dataDxfId="1607" totalsRowDxfId="896" dataCellStyle="Comma">
      <totalsRowFormula>COUNT(TabReg[VLVLY1])</totalsRowFormula>
    </tableColumn>
    <tableColumn id="235" xr3:uid="{12493D9D-4297-CF46-B66F-1559E8FB14BE}" name="VLVLY2" totalsRowFunction="custom" dataDxfId="1606" totalsRowDxfId="895">
      <totalsRowFormula>COUNT(TabReg[VLVLY2])</totalsRowFormula>
    </tableColumn>
    <tableColumn id="236" xr3:uid="{7E0EDE3A-36BF-2B41-B80B-CC97CAEA7DE6}" name="VONN" totalsRowFunction="custom" dataDxfId="1605" totalsRowDxfId="894">
      <totalsRowFormula>COUNT(TabReg[VONN])</totalsRowFormula>
    </tableColumn>
    <tableColumn id="237" xr3:uid="{8B33F160-B82A-B345-A971-DA3D869687B4}" name="VONN1" totalsRowFunction="custom" dataDxfId="1604" totalsRowDxfId="893" dataCellStyle="Comma">
      <totalsRowFormula>COUNT(TabReg[VONN1])</totalsRowFormula>
    </tableColumn>
    <tableColumn id="238" xr3:uid="{8182C875-990C-F64B-9F13-C9023F898A5D}" name="VONN2" totalsRowFunction="custom" dataDxfId="1603" totalsRowDxfId="892" dataCellStyle="Comma">
      <totalsRowFormula>COUNT(TabReg[VONN2])</totalsRowFormula>
    </tableColumn>
    <tableColumn id="116" xr3:uid="{EAFA0E97-DD26-2746-8568-280408AB6E0E}" name="VTRS" totalsRowFunction="custom" dataDxfId="1602" totalsRowDxfId="891">
      <totalsRowFormula>COUNT(TabReg[VTRS])</totalsRowFormula>
    </tableColumn>
    <tableColumn id="117" xr3:uid="{F4925C9A-0EA1-854B-9D01-DD31D1925353}" name="VTRS1" totalsRowFunction="custom" dataDxfId="1601" totalsRowDxfId="890" dataCellStyle="Comma">
      <totalsRowFormula>COUNT(TabReg[VTRS1])</totalsRowFormula>
    </tableColumn>
    <tableColumn id="118" xr3:uid="{FDD4CF08-9B2E-2740-B044-F3F004164CAB}" name="VTRS2" totalsRowFunction="custom" dataDxfId="1600" totalsRowDxfId="889" dataCellStyle="Comma">
      <totalsRowFormula>COUNT(TabReg[VTRS2])</totalsRowFormula>
    </tableColumn>
    <tableColumn id="119" xr3:uid="{FC06DF00-5468-524C-8EDC-8EEF915AA6FD}" name="WBA" totalsRowFunction="custom" dataDxfId="1599" totalsRowDxfId="888">
      <totalsRowFormula>COUNT(TabReg[WBA])</totalsRowFormula>
    </tableColumn>
    <tableColumn id="120" xr3:uid="{D5C360EB-B8B1-A741-B40E-C08576251C87}" name="WBA1" totalsRowFunction="custom" dataDxfId="1598" totalsRowDxfId="887" dataCellStyle="Comma">
      <totalsRowFormula>COUNT(TabReg[WBA1])</totalsRowFormula>
    </tableColumn>
    <tableColumn id="121" xr3:uid="{39CEDF0B-E2E3-E448-9E9B-A947524DF97B}" name="WBA2" totalsRowFunction="custom" dataDxfId="1597" totalsRowDxfId="886" dataCellStyle="Comma">
      <totalsRowFormula>COUNT(TabReg[WBA2])</totalsRowFormula>
    </tableColumn>
    <tableColumn id="122" xr3:uid="{51611324-95E2-7A49-B281-67A46FC8D674}" name="XOM" totalsRowFunction="custom" dataDxfId="1596" totalsRowDxfId="885">
      <totalsRowFormula>COUNT(TabReg[XOM])</totalsRowFormula>
    </tableColumn>
    <tableColumn id="123" xr3:uid="{13422B36-F155-B840-B2CF-B05574FDF663}" name="XOM1" totalsRowFunction="custom" dataDxfId="1595" totalsRowDxfId="884" dataCellStyle="Comma">
      <totalsRowFormula>COUNT(TabReg[XOM1])</totalsRowFormula>
    </tableColumn>
    <tableColumn id="124" xr3:uid="{764EB640-E02A-5C4B-8207-C8D40970E5C7}" name="XOM2" totalsRowFunction="custom" dataDxfId="1594" totalsRowDxfId="883" dataCellStyle="Comma">
      <totalsRowFormula>COUNT(TabReg[XOM2])</totalsRowFormula>
    </tableColumn>
    <tableColumn id="125" xr3:uid="{2E708A98-1149-AD42-A6A9-5C9860AA9242}" name="XPER" totalsRowFunction="custom" dataDxfId="1593" totalsRowDxfId="882">
      <totalsRowFormula>COUNT(TabReg[XPER])</totalsRowFormula>
    </tableColumn>
    <tableColumn id="126" xr3:uid="{93528364-BF0F-7144-A219-2BB9427F4E0B}" name="XPER1" totalsRowFunction="custom" dataDxfId="1592" totalsRowDxfId="881" dataCellStyle="Comma">
      <totalsRowFormula>COUNT(TabReg[XPER1])</totalsRowFormula>
    </tableColumn>
    <tableColumn id="127" xr3:uid="{6FA0AB33-2B74-8741-86CE-5DD24EAFB0AE}" name="XPER2" totalsRowFunction="custom" dataDxfId="1591" totalsRowDxfId="880" dataCellStyle="Comma">
      <totalsRowFormula>COUNT(TabReg[XPER2])</totalsRowFormula>
    </tableColumn>
    <tableColumn id="128" xr3:uid="{C486E5C1-6BEC-8C4B-86D1-C3E8153030D4}" name="MVEALDNE" totalsRowFunction="custom" dataDxfId="1590" totalsRowDxfId="879">
      <totalsRowFormula>COUNT(TabReg[MVEALDNE])</totalsRowFormula>
    </tableColumn>
    <tableColumn id="129" xr3:uid="{3FB451E6-2946-8040-A85E-6B646D511A9C}" name="MVEALDNE1" totalsRowFunction="custom" dataDxfId="1589" totalsRowDxfId="878" dataCellStyle="Comma">
      <totalsRowFormula>COUNT(TabReg[MVEALDNE1])</totalsRowFormula>
    </tableColumn>
    <tableColumn id="130" xr3:uid="{626584AD-E5BE-944D-BE1F-698427DA51F7}" name="MVEALDNE2" totalsRowFunction="custom" dataDxfId="1588" totalsRowDxfId="877" dataCellStyle="Comma">
      <totalsRowFormula>COUNT(TabReg[MVEALDNE2])</totalsRowFormula>
    </tableColumn>
    <tableColumn id="131" xr3:uid="{DD68A5C2-4B08-024C-9778-DA46318A392D}" name="MVEDDD" totalsRowFunction="custom" dataDxfId="1587" totalsRowDxfId="876">
      <totalsRowFormula>COUNT(TabReg[MVEDDD])</totalsRowFormula>
    </tableColumn>
    <tableColumn id="132" xr3:uid="{D9A558E3-596C-5C4F-936E-47C954B63F35}" name="MVEDDD1" totalsRowFunction="custom" dataDxfId="1586" totalsRowDxfId="875" dataCellStyle="Comma">
      <totalsRowFormula>COUNT(TabReg[MVEDDD1])</totalsRowFormula>
    </tableColumn>
    <tableColumn id="133" xr3:uid="{7120DB8C-7514-FA48-A08E-5B247085EBF9}" name="MVEDDD2" totalsRowFunction="custom" dataDxfId="1585" totalsRowDxfId="874" dataCellStyle="Comma">
      <totalsRowFormula>COUNT(TabReg[MVEDDD2])</totalsRowFormula>
    </tableColumn>
    <tableColumn id="134" xr3:uid="{2FD8B1C9-64F0-584A-A7F0-676B72893EB0}" name="MVEDSY" totalsRowFunction="custom" dataDxfId="1584" totalsRowDxfId="873">
      <totalsRowFormula>COUNT(TabReg[MVEDSY])</totalsRowFormula>
    </tableColumn>
    <tableColumn id="135" xr3:uid="{D76DA24F-4421-F847-B121-A8F4A193BD82}" name="MVEDSY1" totalsRowFunction="custom" dataDxfId="1583" totalsRowDxfId="872" dataCellStyle="Comma">
      <totalsRowFormula>COUNT(TabReg[MVEDSY1])</totalsRowFormula>
    </tableColumn>
    <tableColumn id="136" xr3:uid="{396A0ECB-755E-104D-A8E3-7A5B2AE7C6EA}" name="MVEDSY2" totalsRowFunction="custom" dataDxfId="1582" totalsRowDxfId="871" dataCellStyle="Comma">
      <totalsRowFormula>COUNT(TabReg[MVEDSY2])</totalsRowFormula>
    </tableColumn>
    <tableColumn id="137" xr3:uid="{2C0B4D1E-F3B5-484A-9C4B-65760000E495}" name="MVEEOAN" totalsRowFunction="custom" dataDxfId="1581" totalsRowDxfId="870">
      <totalsRowFormula>COUNT(TabReg[MVEEOAN])</totalsRowFormula>
    </tableColumn>
    <tableColumn id="138" xr3:uid="{1FF1B771-C944-A04A-B9B9-0F3D9C680168}" name="MVEEOAN1" totalsRowFunction="custom" dataDxfId="1580" totalsRowDxfId="869" dataCellStyle="Comma">
      <totalsRowFormula>COUNT(TabReg[MVEEOAN1])</totalsRowFormula>
    </tableColumn>
    <tableColumn id="139" xr3:uid="{66A5709F-8CE1-C54D-A79D-76E0054D3090}" name="MVEEOAN2" totalsRowFunction="custom" dataDxfId="1579" totalsRowDxfId="868" dataCellStyle="Comma">
      <totalsRowFormula>COUNT(TabReg[MVEEOAN2])</totalsRowFormula>
    </tableColumn>
    <tableColumn id="140" xr3:uid="{6631A4B3-359A-FC4A-ADBD-0EC86E90A804}" name="MVEENI" totalsRowFunction="custom" dataDxfId="1578" totalsRowDxfId="867">
      <totalsRowFormula>COUNT(TabReg[MVEENI])</totalsRowFormula>
    </tableColumn>
    <tableColumn id="141" xr3:uid="{A95026D5-E0DE-2C40-B806-896DAD5080B2}" name="MVEENI1" totalsRowFunction="custom" dataDxfId="1577" totalsRowDxfId="866" dataCellStyle="Comma">
      <totalsRowFormula>COUNT(TabReg[MVEENI1])</totalsRowFormula>
    </tableColumn>
    <tableColumn id="142" xr3:uid="{F8B96B9E-4850-7843-AD4B-6B4E2A697D2B}" name="MVEENI2" totalsRowFunction="custom" dataDxfId="1576" totalsRowDxfId="865" dataCellStyle="Comma">
      <totalsRowFormula>COUNT(TabReg[MVEENI2])</totalsRowFormula>
    </tableColumn>
    <tableColumn id="143" xr3:uid="{10AC4A37-9481-6542-84E4-55D1CA14160D}" name="MVEEPIX" totalsRowFunction="custom" dataDxfId="1575" totalsRowDxfId="864">
      <totalsRowFormula>COUNT(TabReg[MVEEPIX])</totalsRowFormula>
    </tableColumn>
    <tableColumn id="144" xr3:uid="{299E26EE-7492-CC43-869A-F15EBBF8E46C}" name="MVEEPIX1" totalsRowFunction="custom" dataDxfId="1574" totalsRowDxfId="863" dataCellStyle="Comma">
      <totalsRowFormula>COUNT(TabReg[MVEEPIX1])</totalsRowFormula>
    </tableColumn>
    <tableColumn id="145" xr3:uid="{C8D192BC-03B4-D644-8664-CCB8652B8687}" name="MVEEPIX2" totalsRowFunction="custom" dataDxfId="1573" totalsRowDxfId="862" dataCellStyle="Comma">
      <totalsRowFormula>COUNT(TabReg[MVEEPIX2])</totalsRowFormula>
    </tableColumn>
    <tableColumn id="146" xr3:uid="{798AB43E-D927-AA4A-952C-C7A4EED1515C}" name="MVEGLE" totalsRowFunction="custom" dataDxfId="1572" totalsRowDxfId="861">
      <totalsRowFormula>COUNT(TabReg[MVEGLE])</totalsRowFormula>
    </tableColumn>
    <tableColumn id="147" xr3:uid="{29D52BAD-01AC-9843-99E2-108D85712955}" name="MVEGLE1" totalsRowFunction="custom" dataDxfId="1571" totalsRowDxfId="860" dataCellStyle="Comma">
      <totalsRowFormula>COUNT(TabReg[MVEGLE1])</totalsRowFormula>
    </tableColumn>
    <tableColumn id="148" xr3:uid="{91A1A354-6935-214C-B655-6FA5D05B6148}" name="MVEGLE2" totalsRowFunction="custom" dataDxfId="1570" totalsRowDxfId="859" dataCellStyle="Comma">
      <totalsRowFormula>COUNT(TabReg[MVEGLE2])</totalsRowFormula>
    </tableColumn>
    <tableColumn id="149" xr3:uid="{63EC1406-ED3D-7248-BC5E-B3891B5F1C34}" name="MVEORA" totalsRowFunction="custom" dataDxfId="1569" totalsRowDxfId="858">
      <totalsRowFormula>COUNT(TabReg[MVEORA])</totalsRowFormula>
    </tableColumn>
    <tableColumn id="150" xr3:uid="{BD96D106-F762-CA4F-9926-DCA72A4EFCF8}" name="MVEORA1" totalsRowFunction="custom" dataDxfId="1568" totalsRowDxfId="857" dataCellStyle="Comma">
      <totalsRowFormula>COUNT(TabReg[MVEORA1])</totalsRowFormula>
    </tableColumn>
    <tableColumn id="151" xr3:uid="{6F6EEB8A-4418-9F48-B010-D1102DED03E8}" name="MVEORA2" totalsRowFunction="custom" dataDxfId="1567" totalsRowDxfId="856" dataCellStyle="Comma">
      <totalsRowFormula>COUNT(TabReg[MVEORA2])</totalsRowFormula>
    </tableColumn>
    <tableColumn id="152" xr3:uid="{08AF805C-499B-CA44-8B1B-09DDD9BDDA89}" name="MVERWE" totalsRowFunction="custom" dataDxfId="1566" totalsRowDxfId="855">
      <totalsRowFormula>COUNT(TabReg[MVERWE])</totalsRowFormula>
    </tableColumn>
    <tableColumn id="153" xr3:uid="{73DE675B-333C-8042-A051-7C22080AA480}" name="MVERWE1" totalsRowFunction="custom" dataDxfId="1565" totalsRowDxfId="854" dataCellStyle="Comma">
      <totalsRowFormula>COUNT(TabReg[MVERWE1])</totalsRowFormula>
    </tableColumn>
    <tableColumn id="154" xr3:uid="{3F90A3E1-83FC-5F43-9DEE-1A1BF3455758}" name="MVERWE2" totalsRowFunction="custom" dataDxfId="1564" totalsRowDxfId="853" dataCellStyle="Comma">
      <totalsRowFormula>COUNT(TabReg[MVERWE2])</totalsRowFormula>
    </tableColumn>
    <tableColumn id="155" xr3:uid="{E9F565FB-317B-7B48-8D94-56DBC6AB96D8}" name="MVESAP" totalsRowFunction="custom" dataDxfId="1563" totalsRowDxfId="852">
      <totalsRowFormula>COUNT(TabReg[MVESAP])</totalsRowFormula>
    </tableColumn>
    <tableColumn id="156" xr3:uid="{877F9E2B-72C9-1D43-8E9B-7585F3B9C5A8}" name="MVESAP1" totalsRowFunction="custom" dataDxfId="1562" totalsRowDxfId="851" dataCellStyle="Comma">
      <totalsRowFormula>COUNT(TabReg[MVESAP1])</totalsRowFormula>
    </tableColumn>
    <tableColumn id="157" xr3:uid="{095D7B94-97D5-F04F-8693-4C0766693B3D}" name="MVESAP2" totalsRowFunction="custom" dataDxfId="1561" totalsRowDxfId="850" dataCellStyle="Comma">
      <totalsRowFormula>COUNT(TabReg[MVESAP2])</totalsRowFormula>
    </tableColumn>
    <tableColumn id="158" xr3:uid="{6DAC9D38-B756-EA4C-9F7A-8677964ECEE7}" name="MVEUN0" totalsRowFunction="custom" dataDxfId="1560" totalsRowDxfId="849">
      <totalsRowFormula>COUNT(TabReg[MVEUN0])</totalsRowFormula>
    </tableColumn>
    <tableColumn id="159" xr3:uid="{A8EC8BAE-FF6E-2249-9250-9AA033F9ED29}" name="MVEUN01" totalsRowFunction="custom" dataDxfId="1559" totalsRowDxfId="848" dataCellStyle="Comma">
      <totalsRowFormula>COUNT(TabReg[MVEUN01])</totalsRowFormula>
    </tableColumn>
    <tableColumn id="160" xr3:uid="{F612F125-1D81-1E44-874A-33914890A832}" name="MVEUN02" totalsRowFunction="custom" dataDxfId="1558" totalsRowDxfId="847" dataCellStyle="Comma">
      <totalsRowFormula>COUNT(TabReg[MVEUN02])</totalsRowFormula>
    </tableColumn>
    <tableColumn id="245" xr3:uid="{87DB3F20-52D6-CA4E-88EA-60775FA48471}" name="SAFAAPL" totalsRowFunction="custom" dataDxfId="1557" totalsRowDxfId="846">
      <totalsRowFormula>COUNT(TabReg[SAFAAPL])</totalsRowFormula>
    </tableColumn>
    <tableColumn id="246" xr3:uid="{20517EE6-352A-AD43-8441-3441B61C1D89}" name="SAFAAPL1" totalsRowFunction="custom" dataDxfId="1556" totalsRowDxfId="845" dataCellStyle="Comma">
      <totalsRowFormula>COUNT(TabReg[SAFAAPL1])</totalsRowFormula>
    </tableColumn>
    <tableColumn id="247" xr3:uid="{3C4F3F09-49B3-EA48-ABFA-662F1DB33DA3}" name="SAFAAPL2" totalsRowFunction="custom" dataDxfId="1555" totalsRowDxfId="844">
      <totalsRowFormula>COUNT(TabReg[SAFAAPL2])</totalsRowFormula>
    </tableColumn>
    <tableColumn id="248" xr3:uid="{AABFB2F9-1399-A74B-9F06-69E103AFB9CD}" name="SAFAMZN" totalsRowFunction="custom" dataDxfId="1554" totalsRowDxfId="843">
      <totalsRowFormula>COUNT(TabReg[SAFAMZN])</totalsRowFormula>
    </tableColumn>
    <tableColumn id="249" xr3:uid="{D38CCD21-85E7-5243-8853-685BFE452284}" name="SAFAMZN1" totalsRowFunction="custom" dataDxfId="1553" totalsRowDxfId="842" dataCellStyle="Comma">
      <totalsRowFormula>COUNT(TabReg[SAFAMZN1])</totalsRowFormula>
    </tableColumn>
    <tableColumn id="250" xr3:uid="{E22F61D9-4EB0-B94C-8F20-A63DF62D6B14}" name="SAFAMZN2" totalsRowFunction="custom" dataDxfId="1552" totalsRowDxfId="841">
      <totalsRowFormula>COUNT(TabReg[SAFAMZN2])</totalsRowFormula>
    </tableColumn>
    <tableColumn id="251" xr3:uid="{F25F604C-FECA-CA4F-B82A-F2731B9AB9E2}" name="SAFASML" totalsRowFunction="custom" dataDxfId="1551" totalsRowDxfId="840">
      <totalsRowFormula>COUNT(TabReg[SAFASML])</totalsRowFormula>
    </tableColumn>
    <tableColumn id="252" xr3:uid="{30ACA57E-5B73-3341-B584-158624B040E3}" name="SAFASML1" totalsRowFunction="custom" dataDxfId="1550" totalsRowDxfId="839" dataCellStyle="Comma">
      <totalsRowFormula>COUNT(TabReg[SAFASML1])</totalsRowFormula>
    </tableColumn>
    <tableColumn id="253" xr3:uid="{20ED69C9-1D65-6341-8E2D-F366D2B2C54B}" name="SAFASML2" totalsRowFunction="custom" dataDxfId="1549" totalsRowDxfId="838">
      <totalsRowFormula>COUNT(TabReg[SAFASML2])</totalsRowFormula>
    </tableColumn>
    <tableColumn id="254" xr3:uid="{2C63720C-5818-4944-BDB8-32411EDB5BB5}" name="SAFDDD" totalsRowFunction="custom" dataDxfId="1548" totalsRowDxfId="837">
      <totalsRowFormula>COUNT(TabReg[SAFDDD])</totalsRowFormula>
    </tableColumn>
    <tableColumn id="255" xr3:uid="{D31C2829-AC58-5245-9282-3889257E506D}" name="SAFDDD1" totalsRowFunction="custom" dataDxfId="1547" totalsRowDxfId="836" dataCellStyle="Comma">
      <totalsRowFormula>COUNT(TabReg[SAFDDD1])</totalsRowFormula>
    </tableColumn>
    <tableColumn id="256" xr3:uid="{E7DF0399-71E8-B642-B9E4-D0FDA4593657}" name="SAFDDD2" totalsRowFunction="custom" dataDxfId="1546" totalsRowDxfId="835">
      <totalsRowFormula>COUNT(TabReg[SAFDDD2])</totalsRowFormula>
    </tableColumn>
    <tableColumn id="194" xr3:uid="{F93F1814-DD60-0A4E-8EA3-934D7D95DB83}" name="SAFDIS" totalsRowFunction="custom" dataDxfId="1545" totalsRowDxfId="834">
      <totalsRowFormula>COUNT(TabReg[SAFDIS])</totalsRowFormula>
    </tableColumn>
    <tableColumn id="195" xr3:uid="{A22E8D43-4FB7-1445-8926-DD20EC462EE2}" name="SAFDIS1" totalsRowFunction="custom" dataDxfId="1544" totalsRowDxfId="833" dataCellStyle="Comma">
      <totalsRowFormula>COUNT(TabReg[SAFDIS1])</totalsRowFormula>
    </tableColumn>
    <tableColumn id="196" xr3:uid="{730E80A0-73EA-F14F-B023-90418CB7FF94}" name="SAFDIS2" totalsRowFunction="custom" dataDxfId="1543" totalsRowDxfId="832" dataCellStyle="Comma">
      <totalsRowFormula>COUNT(TabReg[SAFDIS2])</totalsRowFormula>
    </tableColumn>
    <tableColumn id="197" xr3:uid="{6EBEAD56-C7F4-BE4A-B558-A5F2DBB0CE46}" name="SAFGM" totalsRowFunction="custom" dataDxfId="1542" totalsRowDxfId="831">
      <totalsRowFormula>COUNT(TabReg[SAFGM])</totalsRowFormula>
    </tableColumn>
    <tableColumn id="198" xr3:uid="{8550DAEC-2C07-FC46-A369-CE27ACA32089}" name="SAFGM1" totalsRowFunction="custom" dataDxfId="1541" totalsRowDxfId="830" dataCellStyle="Comma">
      <totalsRowFormula>COUNT(TabReg[SAFGM1])</totalsRowFormula>
    </tableColumn>
    <tableColumn id="199" xr3:uid="{076EBF9E-377C-F747-82A7-FA7768DD8DC4}" name="SAFGM2" totalsRowFunction="custom" dataDxfId="1540" totalsRowDxfId="829" dataCellStyle="Comma">
      <totalsRowFormula>COUNT(TabReg[SAFGM2])</totalsRowFormula>
    </tableColumn>
    <tableColumn id="200" xr3:uid="{735B8A44-120B-FF4C-AAEF-AFACB3D9DFCF}" name="SAFIAG" totalsRowFunction="custom" dataDxfId="1539" totalsRowDxfId="828">
      <totalsRowFormula>COUNT(TabReg[SAFIAG])</totalsRowFormula>
    </tableColumn>
    <tableColumn id="201" xr3:uid="{A329D987-F158-744A-9A1D-8059162935DD}" name="SAFIAG1" totalsRowFunction="custom" dataDxfId="1538" totalsRowDxfId="827" dataCellStyle="Comma">
      <totalsRowFormula>COUNT(TabReg[SAFIAG1])</totalsRowFormula>
    </tableColumn>
    <tableColumn id="296" xr3:uid="{CA00107A-3584-4E4D-9727-9DD9D29E985C}" name="SAFIAG2" totalsRowFunction="custom" dataDxfId="1537" totalsRowDxfId="826" dataCellStyle="Comma">
      <totalsRowFormula>COUNT(TabReg[SAFIAG2])</totalsRowFormula>
    </tableColumn>
    <tableColumn id="297" xr3:uid="{C33A51F9-76AA-7E4A-8F99-9984D22DF038}" name="SAFMRNA" totalsRowFunction="custom" dataDxfId="1536" totalsRowDxfId="825" dataCellStyle="Comma">
      <totalsRowFormula>COUNT(TabReg[SAFMRNA])</totalsRowFormula>
    </tableColumn>
    <tableColumn id="298" xr3:uid="{38EAE1F2-CCA3-2243-8FA9-8C83A7C2E83E}" name="SAFMRNA1" totalsRowFunction="custom" dataDxfId="1535" totalsRowDxfId="824" dataCellStyle="Comma">
      <totalsRowFormula>COUNT(TabReg[SAFMRNA1])</totalsRowFormula>
    </tableColumn>
    <tableColumn id="202" xr3:uid="{58031338-9EAE-DB42-B765-E2B6B518A683}" name="SAFMRNA2" totalsRowFunction="custom" dataDxfId="1534" totalsRowDxfId="823" dataCellStyle="Comma">
      <totalsRowFormula>COUNT(TabReg[SAFMRNA2])</totalsRowFormula>
    </tableColumn>
    <tableColumn id="299" xr3:uid="{4C1E3C38-AA96-C24E-95A1-3B57744A500F}" name="BLNK" totalsRowFunction="custom" dataDxfId="1533" totalsRowDxfId="822">
      <totalsRowFormula>COUNT(TabReg[BLNK])</totalsRowFormula>
    </tableColumn>
    <tableColumn id="300" xr3:uid="{023BBB79-E8CA-254F-9A5F-6769DEF86DEB}" name="BLNK1" totalsRowFunction="custom" dataDxfId="1532" totalsRowDxfId="821" dataCellStyle="Comma">
      <totalsRowFormula>COUNT(TabReg[BLNK1])</totalsRowFormula>
    </tableColumn>
    <tableColumn id="301" xr3:uid="{8FF7052C-5BC8-6246-B336-C9608EE0C4D8}" name="BLNK2" totalsRowFunction="custom" dataDxfId="1531" totalsRowDxfId="820" dataCellStyle="Comma">
      <totalsRowFormula>COUNT(TabReg[BLNK2])</totalsRowFormula>
    </tableColumn>
    <tableColumn id="203" xr3:uid="{5146FD2A-2827-254E-AC2D-0ACF26A0C74F}" name="ENI" totalsRowFunction="custom" dataDxfId="1530" totalsRowDxfId="819">
      <totalsRowFormula>COUNT(TabReg[ENI])</totalsRowFormula>
    </tableColumn>
    <tableColumn id="204" xr3:uid="{6DC93B63-70C5-4745-A0E8-9B1894B72882}" name="ENI1" totalsRowFunction="custom" dataDxfId="1529" totalsRowDxfId="818" dataCellStyle="Comma">
      <totalsRowFormula>COUNT(TabReg[ENI1])</totalsRowFormula>
    </tableColumn>
    <tableColumn id="205" xr3:uid="{1586E4F1-AF55-7943-9C5C-6F56BC0D13FB}" name="ENI2" totalsRowFunction="custom" dataDxfId="1528" totalsRowDxfId="817" dataCellStyle="Comma">
      <totalsRowFormula>COUNT(TabReg[ENI2])</totalsRowFormula>
    </tableColumn>
    <tableColumn id="206" xr3:uid="{F90D6620-764A-014D-8E1D-2C110AC0BDCF}" name="EZJ" totalsRowFunction="custom" dataDxfId="1527" totalsRowDxfId="816">
      <totalsRowFormula>COUNT(TabReg[EZJ])</totalsRowFormula>
    </tableColumn>
    <tableColumn id="207" xr3:uid="{AEF036D2-CA8D-5244-B754-038CD142E280}" name="EZJ1" totalsRowFunction="custom" dataDxfId="1526" totalsRowDxfId="815" dataCellStyle="Comma">
      <totalsRowFormula>COUNT(TabReg[EZJ1])</totalsRowFormula>
    </tableColumn>
    <tableColumn id="208" xr3:uid="{172612BD-38A4-9045-8225-B6BACB6E0938}" name="EZJ2" totalsRowFunction="custom" dataDxfId="1525" totalsRowDxfId="814" dataCellStyle="Comma">
      <totalsRowFormula>COUNT(TabReg[EZJ2])</totalsRowFormula>
    </tableColumn>
    <tableColumn id="257" xr3:uid="{897D4C8A-78D4-D145-ACA9-1DF7996B1927}" name="F" totalsRowFunction="custom" dataDxfId="1524" totalsRowDxfId="813">
      <totalsRowFormula>COUNT(TabReg[F])</totalsRowFormula>
    </tableColumn>
    <tableColumn id="258" xr3:uid="{A7D8D583-1B05-8148-91A8-CEB2BB055274}" name="F1" totalsRowFunction="custom" dataDxfId="1523" totalsRowDxfId="812" dataCellStyle="Comma">
      <totalsRowFormula>COUNT(TabReg[F1])</totalsRowFormula>
    </tableColumn>
    <tableColumn id="259" xr3:uid="{22766649-0D25-BF4F-85D7-B86CDF58DA39}" name="F2" totalsRowFunction="custom" dataDxfId="1522" totalsRowDxfId="811" dataCellStyle="Comma">
      <totalsRowFormula>COUNT(TabReg[F2])</totalsRowFormula>
    </tableColumn>
    <tableColumn id="260" xr3:uid="{FCD11F79-1C56-6C45-AC2E-082E924CB4A3}" name="GLE" totalsRowFunction="custom" dataDxfId="1521" totalsRowDxfId="810">
      <totalsRowFormula>COUNT(TabReg[GLE])</totalsRowFormula>
    </tableColumn>
    <tableColumn id="261" xr3:uid="{5EB7E023-E38C-DD45-912B-0DFE7A6D3146}" name="GLE1" totalsRowFunction="custom" dataDxfId="1520" totalsRowDxfId="809" dataCellStyle="Comma">
      <totalsRowFormula>COUNT(TabReg[GLE1])</totalsRowFormula>
    </tableColumn>
    <tableColumn id="262" xr3:uid="{FC176C26-7A73-DB43-BD0A-E6EE991D681A}" name="GLE2" totalsRowFunction="custom" dataDxfId="1519" totalsRowDxfId="808" dataCellStyle="Comma">
      <totalsRowFormula>COUNT(TabReg[GLE2])</totalsRowFormula>
    </tableColumn>
    <tableColumn id="263" xr3:uid="{9446E411-2C2F-D343-A67C-95ED97E45DA5}" name="GNRC" totalsRowFunction="custom" dataDxfId="1518" totalsRowDxfId="807">
      <totalsRowFormula>COUNT(TabReg[GNRC])</totalsRowFormula>
    </tableColumn>
    <tableColumn id="264" xr3:uid="{F3FE8B53-FAAF-CB4E-A4D7-0F5EE1683F9E}" name="GNRC1" totalsRowFunction="custom" dataDxfId="1517" totalsRowDxfId="806" dataCellStyle="Comma">
      <totalsRowFormula>COUNT(TabReg[GNRC1])</totalsRowFormula>
    </tableColumn>
    <tableColumn id="265" xr3:uid="{E75747AB-0FE8-A948-9AB7-15132E227017}" name="GNRC2" totalsRowFunction="custom" dataDxfId="1516" totalsRowDxfId="805" dataCellStyle="Comma">
      <totalsRowFormula>COUNT(TabReg[GNRC2])</totalsRowFormula>
    </tableColumn>
    <tableColumn id="209" xr3:uid="{131BFBC2-6A94-CC42-BD9A-855C7FE85C35}" name="GS" totalsRowFunction="custom" dataDxfId="1515" totalsRowDxfId="804">
      <totalsRowFormula>COUNT(TabReg[GS])</totalsRowFormula>
    </tableColumn>
    <tableColumn id="210" xr3:uid="{A78ED95C-9665-9742-8BFA-99A9C75BC404}" name="GS1" totalsRowFunction="custom" dataDxfId="1514" totalsRowDxfId="803" dataCellStyle="Comma">
      <totalsRowFormula>COUNT(TabReg[GS1])</totalsRowFormula>
    </tableColumn>
    <tableColumn id="211" xr3:uid="{8F5C146D-8344-9C4B-BCA6-5AF63729897B}" name="GS2" totalsRowFunction="custom" dataDxfId="1513" totalsRowDxfId="802" dataCellStyle="Comma">
      <totalsRowFormula>COUNT(TabReg[GS2])</totalsRowFormula>
    </tableColumn>
    <tableColumn id="266" xr3:uid="{20F2F446-BE57-094C-9573-EB81C34762AF}" name="LAZR" totalsRowFunction="custom" dataDxfId="1512" totalsRowDxfId="801">
      <totalsRowFormula>COUNT(TabReg[LAZR])</totalsRowFormula>
    </tableColumn>
    <tableColumn id="267" xr3:uid="{F00BD279-0ECA-F743-9538-36D809B80CD3}" name="LAZR1" totalsRowFunction="custom" dataDxfId="1511" totalsRowDxfId="800" dataCellStyle="Comma">
      <totalsRowFormula>COUNT(TabReg[LAZR1])</totalsRowFormula>
    </tableColumn>
    <tableColumn id="268" xr3:uid="{1D038EDA-DE9D-4245-89D8-B2C045C70A6C}" name="LAZR2" totalsRowFunction="custom" dataDxfId="1510" totalsRowDxfId="799">
      <totalsRowFormula>COUNT(TabReg[LAZR2])</totalsRowFormula>
    </tableColumn>
    <tableColumn id="269" xr3:uid="{F16F4EFF-2D64-E744-A3AC-95F9B17CEA2F}" name="LUV" totalsRowFunction="custom" dataDxfId="1509" totalsRowDxfId="798">
      <totalsRowFormula>COUNT(TabReg[LUV])</totalsRowFormula>
    </tableColumn>
    <tableColumn id="270" xr3:uid="{AC39F39E-E54F-1B4B-81E0-A9D66F18D678}" name="LUV1" totalsRowFunction="custom" dataDxfId="1508" totalsRowDxfId="797" dataCellStyle="Comma">
      <totalsRowFormula>COUNT(TabReg[LUV1])</totalsRowFormula>
    </tableColumn>
    <tableColumn id="271" xr3:uid="{DDA01EC9-A8EC-E340-8856-045E57C154E5}" name="LUV2" totalsRowFunction="custom" dataDxfId="1507" totalsRowDxfId="796" dataCellStyle="Comma">
      <totalsRowFormula>COUNT(TabReg[LUV2])</totalsRowFormula>
    </tableColumn>
    <tableColumn id="272" xr3:uid="{749351A6-512B-204B-84E4-670FAACD0369}" name="MA" totalsRowFunction="custom" dataDxfId="1506" totalsRowDxfId="795">
      <totalsRowFormula>COUNT(TabReg[MA])</totalsRowFormula>
    </tableColumn>
    <tableColumn id="273" xr3:uid="{828049A8-7C35-B542-8930-68C89091C4D8}" name="MA1" totalsRowFunction="custom" dataDxfId="1505" totalsRowDxfId="794" dataCellStyle="Comma">
      <totalsRowFormula>COUNT(TabReg[MA1])</totalsRowFormula>
    </tableColumn>
    <tableColumn id="274" xr3:uid="{B1925B35-79A0-C947-AF5A-95C1B54AAD2D}" name="MA2" totalsRowFunction="custom" dataDxfId="1504" totalsRowDxfId="793">
      <totalsRowFormula>COUNT(TabReg[MA2])</totalsRowFormula>
    </tableColumn>
    <tableColumn id="275" xr3:uid="{9E1D1A56-BAC9-7447-BC8D-85593A0856D6}" name="NVAX" totalsRowFunction="custom" dataDxfId="1503" totalsRowDxfId="792">
      <totalsRowFormula>COUNT(TabReg[NVAX])</totalsRowFormula>
    </tableColumn>
    <tableColumn id="276" xr3:uid="{0B75FE73-7F51-5D4E-9BEB-979D6617649C}" name="NVAX1" totalsRowFunction="custom" dataDxfId="1502" totalsRowDxfId="791" dataCellStyle="Comma">
      <totalsRowFormula>COUNT(TabReg[NVAX1])</totalsRowFormula>
    </tableColumn>
    <tableColumn id="277" xr3:uid="{4A6A0493-9483-CA4A-885C-1B1C245534E5}" name="NVAX2" totalsRowFunction="custom" dataDxfId="1501" totalsRowDxfId="790">
      <totalsRowFormula>COUNT(TabReg[NVAX2])</totalsRowFormula>
    </tableColumn>
    <tableColumn id="287" xr3:uid="{7D4C2FDC-F45E-014B-8CCA-692692C22E13}" name="NVS" totalsRowFunction="custom" dataDxfId="1500" totalsRowDxfId="789">
      <totalsRowFormula>COUNT(TabReg[NVS])</totalsRowFormula>
    </tableColumn>
    <tableColumn id="288" xr3:uid="{FBCE367A-3707-9948-B314-F8D5000F6BF9}" name="NVS1" totalsRowFunction="custom" dataDxfId="1499" totalsRowDxfId="788" dataCellStyle="Comma">
      <totalsRowFormula>COUNT(TabReg[NVS1])</totalsRowFormula>
    </tableColumn>
    <tableColumn id="289" xr3:uid="{15239B29-1C46-C24A-8E4B-52142A0760BA}" name="NVS2" totalsRowFunction="custom" dataDxfId="1498" totalsRowDxfId="787">
      <totalsRowFormula>COUNT(TabReg[NVS2])</totalsRowFormula>
    </tableColumn>
    <tableColumn id="293" xr3:uid="{9E5FA77E-2974-304D-BF26-38A14FFED41C}" name="ORA" totalsRowFunction="custom" dataDxfId="1497" totalsRowDxfId="786">
      <totalsRowFormula>COUNT(TabReg[ORA])</totalsRowFormula>
    </tableColumn>
    <tableColumn id="294" xr3:uid="{EAFF0433-5E40-6A4A-8274-D6B66E885F64}" name="ORA1" totalsRowFunction="custom" dataDxfId="1496" totalsRowDxfId="785" dataCellStyle="Comma">
      <totalsRowFormula>COUNT(TabReg[ORA1])</totalsRowFormula>
    </tableColumn>
    <tableColumn id="295" xr3:uid="{98FDE75C-EEE2-D945-8F39-C938380B1DCF}" name="ORA2" totalsRowFunction="custom" dataDxfId="1495" totalsRowDxfId="784">
      <totalsRowFormula>COUNT(TabReg[ORA2])</totalsRowFormula>
    </tableColumn>
    <tableColumn id="341" xr3:uid="{79F0B853-990E-F048-9DB7-48CEDB15D449}" name="OXY" totalsRowFunction="custom" dataDxfId="1494" totalsRowDxfId="783">
      <totalsRowFormula>COUNT(TabReg[OXY])</totalsRowFormula>
    </tableColumn>
    <tableColumn id="342" xr3:uid="{67D8C685-D16D-354A-B89E-7171813BBACB}" name="OXY1" totalsRowFunction="custom" dataDxfId="1493" totalsRowDxfId="782" dataCellStyle="Comma">
      <totalsRowFormula>COUNT(TabReg[OXY1])</totalsRowFormula>
    </tableColumn>
    <tableColumn id="343" xr3:uid="{28DE8418-782B-5944-BAEF-72062E46E63B}" name="OXY2" totalsRowFunction="custom" dataDxfId="1492" totalsRowDxfId="781">
      <totalsRowFormula>COUNT(TabReg[OXY2])</totalsRowFormula>
    </tableColumn>
    <tableColumn id="344" xr3:uid="{89941348-5FF4-CB40-BC45-E8D2587B0B46}" name="PFE" totalsRowFunction="custom" dataDxfId="1491" totalsRowDxfId="780">
      <totalsRowFormula>COUNT(TabReg[PFE])</totalsRowFormula>
    </tableColumn>
    <tableColumn id="345" xr3:uid="{244BE308-157C-A446-BC34-CFC3E87F727E}" name="PFE1" totalsRowFunction="custom" dataDxfId="1490" totalsRowDxfId="779" dataCellStyle="Comma">
      <totalsRowFormula>COUNT(TabReg[PFE1])</totalsRowFormula>
    </tableColumn>
    <tableColumn id="346" xr3:uid="{D5E76701-0AE3-1E47-92EE-A72611DC786D}" name="PFE2" totalsRowFunction="custom" dataDxfId="1489" totalsRowDxfId="778">
      <totalsRowFormula>COUNT(TabReg[PFE2])</totalsRowFormula>
    </tableColumn>
    <tableColumn id="347" xr3:uid="{E30CEE26-CE01-2644-851E-A54AC199B369}" name="RIG" totalsRowFunction="custom" dataDxfId="1488" totalsRowDxfId="777">
      <totalsRowFormula>COUNT(TabReg[RIG])</totalsRowFormula>
    </tableColumn>
    <tableColumn id="348" xr3:uid="{0BDB8355-85ED-0F48-B9D2-BE4BFC6AB116}" name="RIG1" totalsRowFunction="custom" dataDxfId="1487" totalsRowDxfId="776" dataCellStyle="Comma">
      <totalsRowFormula>COUNT(TabReg[RIG1])</totalsRowFormula>
    </tableColumn>
    <tableColumn id="349" xr3:uid="{A9F9D8BA-10B6-E84E-A870-0D7A28806645}" name="RIG2" totalsRowFunction="custom" dataDxfId="1486" totalsRowDxfId="775">
      <totalsRowFormula>COUNT(TabReg[RIG2])</totalsRowFormula>
    </tableColumn>
    <tableColumn id="212" xr3:uid="{F30CC0DB-52A4-E744-A741-C26358086BAC}" name="RRC" totalsRowFunction="custom" dataDxfId="1485" totalsRowDxfId="774">
      <totalsRowFormula>COUNT(TabReg[RRC])</totalsRowFormula>
    </tableColumn>
    <tableColumn id="213" xr3:uid="{56C3BFFD-3193-F64F-B26B-CEEED7BF9A3F}" name="RRC1" totalsRowFunction="custom" dataDxfId="1484" totalsRowDxfId="773" dataCellStyle="Comma">
      <totalsRowFormula>COUNT(TabReg[RRC1])</totalsRowFormula>
    </tableColumn>
    <tableColumn id="214" xr3:uid="{8DE967B3-1687-0848-A144-0C489B72A69B}" name="RRC2" totalsRowFunction="custom" dataDxfId="1483" totalsRowDxfId="772" dataCellStyle="Comma">
      <totalsRowFormula>COUNT(TabReg[RRC2])</totalsRowFormula>
    </tableColumn>
    <tableColumn id="215" xr3:uid="{622EC914-822C-924A-AEF5-A27E19DF6037}" name="XYZ" totalsRowFunction="custom" dataDxfId="1482" totalsRowDxfId="771">
      <totalsRowFormula>COUNT(TabReg[XYZ])</totalsRowFormula>
    </tableColumn>
    <tableColumn id="216" xr3:uid="{B030C74E-0D3D-6541-B7BB-48BF89C99809}" name="XYZ1" totalsRowFunction="custom" dataDxfId="1481" totalsRowDxfId="770" dataCellStyle="Comma">
      <totalsRowFormula>COUNT(TabReg[XYZ1])</totalsRowFormula>
    </tableColumn>
    <tableColumn id="217" xr3:uid="{ACEFFD2C-EAB6-9948-989F-D7D5AC701829}" name="XYZ2" totalsRowFunction="custom" dataDxfId="1480" totalsRowDxfId="769" dataCellStyle="Comma">
      <totalsRowFormula>COUNT(TabReg[XYZ2])</totalsRowFormula>
    </tableColumn>
    <tableColumn id="218" xr3:uid="{4CD2CE15-E36E-3E42-A306-F305A7C90830}" name="THC" totalsRowFunction="custom" dataDxfId="1479" totalsRowDxfId="768">
      <totalsRowFormula>COUNT(TabReg[THC])</totalsRowFormula>
    </tableColumn>
    <tableColumn id="219" xr3:uid="{C11F035D-CDF4-174B-9BE6-F7593779E4D8}" name="THC1" totalsRowFunction="custom" dataDxfId="1478" totalsRowDxfId="767" dataCellStyle="Comma">
      <totalsRowFormula>COUNT(TabReg[THC1])</totalsRowFormula>
    </tableColumn>
    <tableColumn id="220" xr3:uid="{2A06D532-4E45-4645-BB9C-323A66479BFA}" name="THC2" totalsRowFunction="custom" dataDxfId="1477" totalsRowDxfId="766" dataCellStyle="Comma">
      <totalsRowFormula>COUNT(TabReg[THC2])</totalsRowFormula>
    </tableColumn>
    <tableColumn id="221" xr3:uid="{6EA5B267-5542-3547-8C51-B4865046DAB9}" name="X" totalsRowFunction="custom" dataDxfId="1476" totalsRowDxfId="765">
      <totalsRowFormula>COUNT(TabReg[X])</totalsRowFormula>
    </tableColumn>
    <tableColumn id="222" xr3:uid="{365245E0-D863-7643-BC5B-7BD0ECB1DE4C}" name="X1" totalsRowFunction="custom" dataDxfId="1475" totalsRowDxfId="764" dataCellStyle="Comma">
      <totalsRowFormula>COUNT(TabReg[X1])</totalsRowFormula>
    </tableColumn>
    <tableColumn id="223" xr3:uid="{DCD6AC1F-F77E-0741-AC5D-657E140B6DC2}" name="X2" totalsRowFunction="custom" dataDxfId="1474" totalsRowDxfId="763" dataCellStyle="Comma">
      <totalsRowFormula>COUNT(TabReg[X2])</totalsRowFormula>
    </tableColumn>
    <tableColumn id="302" xr3:uid="{12D2B534-7A04-F54F-80F6-A11D14B88280}" name="LOCK" totalsRowFunction="custom" dataDxfId="1473" totalsRowDxfId="762">
      <totalsRowFormula>COUNT(TabReg[LOCK])</totalsRowFormula>
    </tableColumn>
    <tableColumn id="303" xr3:uid="{8CFAE27D-A663-E64A-BF5D-1F73B5863089}" name="LOCK1" totalsRowFunction="custom" dataDxfId="1472" totalsRowDxfId="761" dataCellStyle="Comma">
      <totalsRowFormula>COUNT(TabReg[LOCK1])</totalsRowFormula>
    </tableColumn>
    <tableColumn id="304" xr3:uid="{D90F9136-0218-FB4C-836E-08A741E13B5A}" name="LOCK2" totalsRowFunction="custom" dataDxfId="1471" totalsRowDxfId="760" dataCellStyle="Comma">
      <totalsRowFormula>COUNT(TabReg[LOCK2])</totalsRowFormula>
    </tableColumn>
    <tableColumn id="161" xr3:uid="{A9E992B2-11DC-8849-A7E9-148965BC4326}" name="JBASML" totalsRowFunction="custom" dataDxfId="1470" totalsRowDxfId="75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469" totalsRowDxfId="75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468" totalsRowDxfId="757">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467" totalsRowDxfId="756">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466" totalsRowDxfId="755"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465" totalsRowDxfId="75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464" totalsRowDxfId="753">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463" totalsRowDxfId="752"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462" totalsRowDxfId="751">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461" totalsRowDxfId="750">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460" totalsRowDxfId="74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459" totalsRowDxfId="74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458" headerRowCellStyle="Comma">
  <autoFilter ref="A2:BP96" xr:uid="{1355A38B-5BD1-D249-AD6D-96E02BC9C311}"/>
  <tableColumns count="68">
    <tableColumn id="2" xr3:uid="{AB1EC51C-CE10-C44F-8563-D562A0774781}" name="Scale" totalsRowLabel="Total" dataDxfId="1457" totalsRowDxfId="1456">
      <calculatedColumnFormula>IF(_xlfn.XLOOKUP(TabTRADER[[#This Row],[ClickTick]],TabCalc[Ticker],TabCalc[Cur])="GBp",0.01,1)</calculatedColumnFormula>
    </tableColumn>
    <tableColumn id="3" xr3:uid="{85E73ED8-4FDB-0D4B-87C7-1C8139DDD84A}" name="LastBuy_RevRem_n" dataDxfId="1455" totalsRowDxfId="1454">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453" totalsRowDxfId="145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451" totalsRowDxfId="145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449" totalsRowDxfId="1448">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447" totalsRowDxfId="1446"/>
    <tableColumn id="12" xr3:uid="{F165B824-ACDF-0044-A649-45E93AB88C03}" name="LastSale_RevBuy$" dataDxfId="1445" totalsRowDxfId="1444"/>
    <tableColumn id="13" xr3:uid="{C007EDF1-F9A7-A54D-B9A5-63A7F0F2DE88}" name="if_ReBuy_nSold" dataDxfId="1443" totalsRowDxfId="1442" dataCellStyle="Comma"/>
    <tableColumn id="15" xr3:uid="{7D769024-523A-604D-B662-648DD5B77A3D}" name="Rebuy2" dataDxfId="1441" totalsRowDxfId="1440" dataCellStyle="Comma"/>
    <tableColumn id="16" xr3:uid="{E3F0170B-738A-4C4A-B89A-95794135EB60}" name="Gravity" dataDxfId="1439" totalsRowDxfId="1438" dataCellStyle="Comma">
      <calculatedColumnFormula>_xlfn.XLOOKUP(TabTRADER[[#This Row],[ClickTick]],TabCalc[Ticker],ListGravity)</calculatedColumnFormula>
    </tableColumn>
    <tableColumn id="17" xr3:uid="{294D7F67-21E5-8B44-89D8-1F7A1CA93BAB}" name="Extran" dataDxfId="1437" totalsRowDxfId="1436"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435" totalsRowDxfId="1434"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433" totalsRowDxfId="1432">
      <calculatedColumnFormula>_xlfn.XLOOKUP(TabTRADER[[#This Row],[ClickTick]],TabCalc[Ticker],TabCalc[Agiotage])</calculatedColumnFormula>
    </tableColumn>
    <tableColumn id="20" xr3:uid="{42A2A74C-CA9D-004F-8FB3-8DE0DE7852F9}" name="RSI" dataDxfId="1431" totalsRowDxfId="1430" dataCellStyle="Comma">
      <calculatedColumnFormula array="1">_xlfn.XLOOKUP(TabTRADER[[#This Row],[ClickTick]],ListTickers,Tab2RSIConventional[RSIConv20])</calculatedColumnFormula>
    </tableColumn>
    <tableColumn id="11" xr3:uid="{9014D1F9-34DC-3748-977E-00BCAAA27F23}" name="Begin/Status" dataDxfId="1429" totalsRowDxfId="1428"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427" totalsRowDxfId="1426" dataCellStyle="Comma">
      <calculatedColumnFormula>_xlfn.XLOOKUP(TabTRADER[[#This Row],[ClickTick]],TabCalc[Ticker],TabCalc[L_Bn])</calculatedColumnFormula>
    </tableColumn>
    <tableColumn id="31" xr3:uid="{528D52A3-6941-1949-A034-665AD9FAE6A1}" name="L_Bp" dataDxfId="1425" totalsRowDxfId="1424" dataCellStyle="Comma">
      <calculatedColumnFormula>_xlfn.XLOOKUP(TabTRADER[[#This Row],[ClickTick]],TabCalc[Ticker],TabCalc[L_Bp])</calculatedColumnFormula>
    </tableColumn>
    <tableColumn id="21" xr3:uid="{708FCF43-CBDB-8F4F-8472-28891FF733C4}" name="Rev_Sale" dataDxfId="1423" totalsRowDxfId="1422">
      <calculatedColumnFormula>(TabTRADER[[#This Row],[M]]+TabTRADER[[#This Row],[L_Bp]])/ABS(TabTRADER[[#This Row],[L_Bp]])</calculatedColumnFormula>
    </tableColumn>
    <tableColumn id="22" xr3:uid="{FE1A96A1-072C-D74B-83F4-42AA4B053368}" name="Sale_Back_$" totalsRowFunction="sum" dataDxfId="1421" totalsRowDxfId="1420" dataCellStyle="Comma">
      <calculatedColumnFormula>_xlfn.XLOOKUP(TabTRADER[[#This Row],[ClickTick]],TabCalc[Ticker],TabCalc[Rev(MinStock)])*(1-Commission)</calculatedColumnFormula>
    </tableColumn>
    <tableColumn id="7" xr3:uid="{E41693E9-FA9D-724E-8373-ADDD00EA5A62}" name="Agiotage" dataDxfId="1419" totalsRowDxfId="1418" dataCellStyle="Percent">
      <calculatedColumnFormula>_xlfn.XLOOKUP(TabTRADER[[#This Row],[ClickTick]],TabCalc[Ticker],TabCalc[Agiotage])</calculatedColumnFormula>
    </tableColumn>
    <tableColumn id="42" xr3:uid="{7CC4EE64-3885-9F45-8D66-FF4F8A62FA79}" name="SncOpenYest%" totalsRowFunction="sum" dataDxfId="1417" totalsRowDxfId="1416">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415" totalsRowDxfId="1414" dataCellStyle="Comma">
      <calculatedColumnFormula>_xlfn.XLOOKUP(TabTRADER[[#This Row],[ClickTick]],[1]!RTData[Ticker_Symbol],[1]!RTData[Currency])</calculatedColumnFormula>
    </tableColumn>
    <tableColumn id="9" xr3:uid="{AB89C7C7-F885-7043-91BD-2951C5C799FB}" name="M" dataDxfId="1413" totalsRowDxfId="1412" dataCellStyle="Comma">
      <calculatedColumnFormula>_xlfn.XLOOKUP(TabTRADER[[#This Row],[ClickTick]],TabCalc[Ticker],TabCalc[M])</calculatedColumnFormula>
    </tableColumn>
    <tableColumn id="10" xr3:uid="{A64F3714-DFF9-6546-B45D-A323AD90D7C9}" name="ClickTick" dataDxfId="1411" totalsRowDxfId="1410">
      <calculatedColumnFormula>SORTING!B3</calculatedColumnFormula>
    </tableColumn>
    <tableColumn id="54" xr3:uid="{EBDD1601-CCB5-FD46-832E-ACF4F62B8FAF}" name="Target1Y" dataDxfId="1409" totalsRowDxfId="1408">
      <calculatedColumnFormula>_xlfn.XLOOKUP(TabTRADER[[#This Row],[ClickTick]],TabCalc[Ticker],TabCalc[Y])</calculatedColumnFormula>
    </tableColumn>
    <tableColumn id="57" xr3:uid="{AC840AB4-C360-B048-B882-E681719F5339}" name="Y_Change" dataDxfId="1407" totalsRowDxfId="1406" dataCellStyle="Comma">
      <calculatedColumnFormula>_xlfn.XLOOKUP(TabTRADER[[#This Row],[ClickTick]],[1]!RTData[Ticker_Symbol],[1]!RTData[YTChange])</calculatedColumnFormula>
    </tableColumn>
    <tableColumn id="8" xr3:uid="{C207CF0F-86BD-F844-8AD2-9525818B008A}" name="A" dataDxfId="1405" totalsRowDxfId="1404" dataCellStyle="Comma"/>
    <tableColumn id="60" xr3:uid="{455EB8C9-4981-D846-9DA9-DBC931878F14}" name="Ch%_Yest" dataDxfId="1403" totalsRowDxfId="1402" dataCellStyle="Comma">
      <calculatedColumnFormula array="1">_xlfn.XLOOKUP(TabTRADER[[#This Row],[ClickTick]],ListTickers,Tab1ChangePercent[Change%19])</calculatedColumnFormula>
    </tableColumn>
    <tableColumn id="52" xr3:uid="{68C8CE58-14CD-8543-8CA6-0BDBACC71AB6}" name="N" dataDxfId="1401" totalsRowDxfId="1400">
      <calculatedColumnFormula>_xlfn.XLOOKUP(TabTRADER[[#This Row],[ClickTick]],TabCalc[Ticker],TabCalc[NAfter])</calculatedColumnFormula>
    </tableColumn>
    <tableColumn id="45" xr3:uid="{DAA0B676-9E0E-864B-BD4C-31777526BBCA}" name="Glnow_/M_Value_K$" dataDxfId="1399" totalsRowDxfId="1398">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397" totalsRowDxfId="139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395" totalsRowDxfId="1394"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393" totalsRowDxfId="1392"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391" totalsRowDxfId="1390"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389" totalsRowDxfId="1388"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387" totalsRowDxfId="1386"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385" totalsRowDxfId="138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383" totalsRowDxfId="138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381" totalsRowDxfId="1380" dataCellStyle="Percent">
      <calculatedColumnFormula>_xlfn.XLOOKUP(TabTRADER[[#This Row],[ClickTick]],TabCalc[Ticker],TabCalc[Ann%RevLB])</calculatedColumnFormula>
    </tableColumn>
    <tableColumn id="64" xr3:uid="{67659519-1C42-244B-921B-725F68AA979B}" name="MUP" dataDxfId="1379" totalsRowDxfId="1378" dataCellStyle="Percent">
      <calculatedColumnFormula>_xlfn.XLOOKUP(TabTRADER[[#This Row],[ClickTick]],TabCalc[Ticker],TabCalc[Up20])</calculatedColumnFormula>
    </tableColumn>
    <tableColumn id="62" xr3:uid="{BD8F261A-D478-8F4A-BEDF-C53705997463}" name="vs.LBt%" dataDxfId="1377" totalsRowDxfId="137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375" totalsRowDxfId="1374"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373" totalsRowDxfId="137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371" totalsRowDxfId="1370"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369" totalsRowDxfId="1368"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367" totalsRowDxfId="1366"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365" totalsRowDxfId="1364">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363" totalsRowDxfId="136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361" totalsRowDxfId="1360" dataCellStyle="Comma">
      <calculatedColumnFormula>_xlfn.XLOOKUP(TabTRADER[[#This Row],[ClickTick]],TabCalc[Ticker],TabCalc[L_Sn])</calculatedColumnFormula>
    </tableColumn>
    <tableColumn id="32" xr3:uid="{089D5B01-CA85-1A4E-8FB3-81A40C89B0F9}" name="L_Sp" dataDxfId="1359" totalsRowDxfId="1358" dataCellStyle="Comma">
      <calculatedColumnFormula>_xlfn.XLOOKUP(TabTRADER[[#This Row],[ClickTick]],TabCalc[Ticker],TabCalc[L_Sp])</calculatedColumnFormula>
    </tableColumn>
    <tableColumn id="23" xr3:uid="{A3EEAFE0-9CBA-FC42-8ECA-46F817BA644B}" name="Rev_Buy" dataDxfId="1357" totalsRowDxfId="1356">
      <calculatedColumnFormula>-IFERROR((TabTRADER[[#This Row],[M]]-TabTRADER[[#This Row],[L_Sp]])/TabTRADER[[#This Row],[L_Sp]],0)</calculatedColumnFormula>
    </tableColumn>
    <tableColumn id="24" xr3:uid="{3F91613F-AC29-AB41-B5A5-812FE6F84343}" name="Buy_Back" totalsRowFunction="sum" dataDxfId="1355" totalsRowDxfId="1354" dataCellStyle="Comma">
      <calculatedColumnFormula>TabTRADER[[#This Row],[L_Sn]]*(TabTRADER[[#This Row],[M]]-TabTRADER[[#This Row],[L_Sp]])*(1-Commission)*TabTRADER[[#This Row],[Scale]]</calculatedColumnFormula>
    </tableColumn>
    <tableColumn id="34" xr3:uid="{C0AAEF90-D448-6047-B6DE-CB0FE45089CF}" name="Rev_B@Y" totalsRowFunction="max" dataDxfId="1353" totalsRowDxfId="1352">
      <calculatedColumnFormula>TabTRADER[[#This Row],[L_Sn]]*(TabTRADER[[#This Row],[Agiotage]]-TabTRADER[[#This Row],[M]])/(TabTRADER[[#This Row],[L_Bn]]*TabTRADER[[#This Row],[M]])</calculatedColumnFormula>
    </tableColumn>
    <tableColumn id="25" xr3:uid="{AAE29823-FB0F-F640-9407-FB84AE6E64B6}" name="TakeGain_A" dataDxfId="1351" totalsRowDxfId="1350">
      <calculatedColumnFormula>IFERROR((TabTRADER[[#This Row],[M]]-TabTRADER[[#This Row],[A]])/TabTRADER[[#This Row],[A]],0)</calculatedColumnFormula>
    </tableColumn>
    <tableColumn id="26" xr3:uid="{7550FC06-5A93-6F46-B561-83A49DA6DDC1}" name="Alln*M-A:GL$" dataDxfId="1349" totalsRowDxfId="1348"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347" totalsRowDxfId="1346" dataCellStyle="Comma"/>
    <tableColumn id="49" xr3:uid="{744FF3A2-F5E4-9545-B57B-D8CDE6F502E1}" name="MinB/M" dataDxfId="1345" totalsRowDxfId="1344" dataCellStyle="Comma"/>
    <tableColumn id="28" xr3:uid="{B960CEB6-2522-4147-8EDC-C07732CFB8E5}" name="Tick_M_A" dataDxfId="1343" totalsRowDxfId="1342">
      <calculatedColumnFormula>TabTRADER[[#This Row],[ClickTick]]&amp;": "&amp;_xlfn.XLOOKUP(TabTRADER[[#This Row],[ClickTick]],TabCalc[Ticker],TabCalc[Pile?])</calculatedColumnFormula>
    </tableColumn>
    <tableColumn id="29" xr3:uid="{16DF2913-98AD-B246-8118-794256FA3500}" name="Status" totalsRowFunction="count" dataDxfId="1341" totalsRowDxfId="1340"/>
    <tableColumn id="35" xr3:uid="{F14A80AE-E62C-DF48-99D4-9293058E44B1}" name="Code" dataDxfId="1339" totalsRowDxfId="1338">
      <calculatedColumnFormula array="1">_xlfn.TEXTJOIN("",,INDEX({"M","A","Y"}, _xlfn.SORTBY({1,2,3}, -CHOOSE({1,2,3}, TabTRADER[[#This Row],[M]], TabTRADER[[#This Row],[A]], TabTRADER[[#This Row],[Agiotage]]))))</calculatedColumnFormula>
    </tableColumn>
    <tableColumn id="37" xr3:uid="{E6B8B070-0576-C54E-8049-42AD03CF00A9}" name="TonM" dataDxfId="1337" totalsRowDxfId="133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335">
      <calculatedColumnFormula>TabTRADER[[#This Row],[L_Sn]]*TabTRADER[[#This Row],[L_Sp]]+TabTRADER[[#This Row],[SellMore]]*TabTRADER[[#This Row],[M]]</calculatedColumnFormula>
    </tableColumn>
    <tableColumn id="39" xr3:uid="{493C574C-1BCF-3241-AFCD-2265A016AB75}" name="SellMore" dataDxfId="1334"/>
    <tableColumn id="40" xr3:uid="{A99302DF-FBDC-D545-91AF-29D9F0C0AE01}" name="NoStock" dataDxfId="1333" dataCellStyle="Percent"/>
    <tableColumn id="41" xr3:uid="{877B67EB-D7DA-554B-951C-D198CA8535FE}" name="HOLD" dataDxfId="1332" totalsRowDxfId="1331">
      <calculatedColumnFormula>TabTRADER[[#This Row],[ReBuy]]/(TabTRADER[[#This Row],[L_Sn]]+TabTRADER[[#This Row],[SellMore]])</calculatedColumnFormula>
    </tableColumn>
    <tableColumn id="43" xr3:uid="{92F17730-71E8-AE49-A350-B41610408C9D}" name="Column7" dataDxfId="1330">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329">
      <calculatedColumnFormula>(TabTRADER[[#This Row],[M]]-TabTRADER[[#This Row],[Agiotage]])/(TabTRADER[[#This Row],[M]]-TabTRADER[[#This Row],[A]])-1</calculatedColumnFormula>
    </tableColumn>
    <tableColumn id="68" xr3:uid="{09E388EE-11E8-EE40-AFDA-665C399A4A38}" name="index" dataDxfId="1328" totalsRowDxfId="1327">
      <calculatedColumnFormula>_xlfn.XMATCH(TabTRADER[[#This Row],[ClickTick]]&amp;1, TabConsolid[#Headers])</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26" tableBorderDxfId="1325">
  <autoFilter ref="B3:JZ36" xr:uid="{B9FDB8E1-C2D8-CA44-9290-EA3B066D98B2}"/>
  <tableColumns count="285">
    <tableColumn id="1" xr3:uid="{4F3C6718-1B2B-FE44-B8C7-4CA3C7D81539}" name="AAPL" totalsRowFunction="sum" dataDxfId="1324" totalsRowDxfId="384" dataCellStyle="Comma">
      <calculatedColumnFormula>C4*(_xlfn.XLOOKUP(B$3,TabCalc[Ticker],TabCalc[M])+D4)</calculatedColumnFormula>
    </tableColumn>
    <tableColumn id="2" xr3:uid="{FF2983F9-BF22-2A43-A1DE-D6A2929E69C2}" name="AAPL1" totalsRowFunction="sum" dataDxfId="1323" totalsRowDxfId="383" dataCellStyle="Comma"/>
    <tableColumn id="3" xr3:uid="{AE90608B-5D45-834A-9CEC-916B02A0BF70}" name="AAPL2" totalsRowFunction="average" dataDxfId="1322" totalsRowDxfId="382" dataCellStyle="Comma"/>
    <tableColumn id="4" xr3:uid="{4B747254-4228-9644-99B3-FF68845A1767}" name="ADEA" totalsRowFunction="sum" dataDxfId="1321" totalsRowDxfId="381" dataCellStyle="Comma">
      <calculatedColumnFormula>F4*(_xlfn.XLOOKUP(E$3,TabCalc[Ticker],TabCalc[M])+G4)</calculatedColumnFormula>
    </tableColumn>
    <tableColumn id="5" xr3:uid="{A192C7BC-8A1A-024C-AEFD-A4B09613ABCA}" name="ADEA1" totalsRowFunction="sum" dataDxfId="1320" totalsRowDxfId="380" dataCellStyle="Comma"/>
    <tableColumn id="6" xr3:uid="{86DBBBB8-C822-A042-882E-DAF1F6E7F1A9}" name="ADEA2" totalsRowFunction="average" dataDxfId="1319" totalsRowDxfId="379" dataCellStyle="Comma"/>
    <tableColumn id="7" xr3:uid="{CDB0D2D9-A20E-9F44-855D-B737E27A8610}" name="AET" totalsRowFunction="sum" dataDxfId="1318" totalsRowDxfId="378" dataCellStyle="Comma">
      <calculatedColumnFormula>I4*(_xlfn.XLOOKUP(H$3,TabCalc[Ticker],TabCalc[M])+J4)</calculatedColumnFormula>
    </tableColumn>
    <tableColumn id="8" xr3:uid="{F7C57E98-EFA4-264D-A1A8-5E18578768AC}" name="AET1" totalsRowFunction="sum" dataDxfId="1317" totalsRowDxfId="377" dataCellStyle="Comma"/>
    <tableColumn id="9" xr3:uid="{5E45A015-732A-FE4C-B729-DE274A6016E0}" name="AET2" totalsRowFunction="average" dataDxfId="1316" totalsRowDxfId="376" dataCellStyle="Comma"/>
    <tableColumn id="10" xr3:uid="{29B6658B-8137-294C-BDFD-629EF915B030}" name="AMZN" totalsRowFunction="sum" dataDxfId="1315" totalsRowDxfId="375" dataCellStyle="Comma">
      <calculatedColumnFormula>L4*(_xlfn.XLOOKUP(K$3,TabCalc[Ticker],TabCalc[M])+M4)</calculatedColumnFormula>
    </tableColumn>
    <tableColumn id="11" xr3:uid="{D51515D0-AD0A-7042-83F6-2930DDECDC82}" name="AMZN1" totalsRowFunction="sum" dataDxfId="1314" totalsRowDxfId="374" dataCellStyle="Comma"/>
    <tableColumn id="12" xr3:uid="{D6411F6F-1618-5046-A24E-F795B967A62E}" name="AMZN2" totalsRowFunction="average" dataDxfId="1313" totalsRowDxfId="373" dataCellStyle="Comma"/>
    <tableColumn id="13" xr3:uid="{8C7D245B-EC8F-414A-AE20-9F53131FF92C}" name="ALDNE" totalsRowFunction="sum" dataDxfId="1312" totalsRowDxfId="372" dataCellStyle="Comma">
      <calculatedColumnFormula>O4*(_xlfn.XLOOKUP(N$3,TabCalc[Ticker],TabCalc[M])+P4)</calculatedColumnFormula>
    </tableColumn>
    <tableColumn id="14" xr3:uid="{9A5ACEE4-9677-974E-BBC5-32C8CE678401}" name="ALDNE1" totalsRowFunction="sum" dataDxfId="1311" totalsRowDxfId="371" dataCellStyle="Comma"/>
    <tableColumn id="15" xr3:uid="{C9CC9906-076E-B542-90B7-A75EAA4C486F}" name="ALDNE2" totalsRowFunction="average" dataDxfId="1310" totalsRowDxfId="370" dataCellStyle="Comma"/>
    <tableColumn id="16" xr3:uid="{04CB329C-3089-0945-9AC7-48EFD8C7E2D0}" name="ASML" totalsRowFunction="sum" dataDxfId="1309" totalsRowDxfId="369" dataCellStyle="Comma">
      <calculatedColumnFormula>R4*(_xlfn.XLOOKUP(Q$3,TabCalc[Ticker],TabCalc[M])+S4)</calculatedColumnFormula>
    </tableColumn>
    <tableColumn id="17" xr3:uid="{B77296A8-A666-6444-97C5-8C071857CF23}" name="ASML1" totalsRowFunction="sum" dataDxfId="1308" totalsRowDxfId="368" dataCellStyle="Comma"/>
    <tableColumn id="18" xr3:uid="{83202C9D-48DB-5B48-B948-26C6A8D48AB1}" name="ASML2" totalsRowFunction="average" dataDxfId="1307" totalsRowDxfId="367" dataCellStyle="Comma"/>
    <tableColumn id="19" xr3:uid="{FB5345B6-A211-DB42-A1E9-A005590036FF}" name="AVGO" dataDxfId="1306" totalsRowDxfId="366" dataCellStyle="Comma">
      <calculatedColumnFormula>U4*(_xlfn.XLOOKUP(T$3,TabCalc[Ticker],TabCalc[M])+V4)</calculatedColumnFormula>
    </tableColumn>
    <tableColumn id="20" xr3:uid="{68D705CA-90AF-6242-9C88-DFDD951676B9}" name="AVGO1" dataDxfId="1305" totalsRowDxfId="365" dataCellStyle="Comma"/>
    <tableColumn id="21" xr3:uid="{C5D19C38-801A-6A46-8BA6-8B94CC71900F}" name="AVGO2" dataDxfId="1304" totalsRowDxfId="364" dataCellStyle="Comma"/>
    <tableColumn id="22" xr3:uid="{A277A45B-54A4-0A4D-A9D7-28389A195826}" name="AZN" dataDxfId="1303" totalsRowDxfId="363" dataCellStyle="Comma">
      <calculatedColumnFormula>X4*(_xlfn.XLOOKUP(W$3,TabCalc[Ticker],TabCalc[M])+Y4)</calculatedColumnFormula>
    </tableColumn>
    <tableColumn id="23" xr3:uid="{92B99FAD-1108-734D-8297-53766E839787}" name="AZN1" dataDxfId="1302" totalsRowDxfId="362" dataCellStyle="Comma"/>
    <tableColumn id="24" xr3:uid="{82125733-91A0-0E43-98ED-EE5820A40A2D}" name="AZN2" dataDxfId="1301" totalsRowDxfId="361" dataCellStyle="Comma"/>
    <tableColumn id="25" xr3:uid="{11C1CFCE-DD1E-034E-9F0B-6EAC1073C537}" name="BLDP" dataDxfId="1300" totalsRowDxfId="360" dataCellStyle="Comma">
      <calculatedColumnFormula>AA4*(_xlfn.XLOOKUP(Z$3,TabCalc[Ticker],TabCalc[M])+AB4)</calculatedColumnFormula>
    </tableColumn>
    <tableColumn id="26" xr3:uid="{360D253A-CA28-5E4D-B955-B8406C4A5F9E}" name="BLDP1" dataDxfId="1299" totalsRowDxfId="359" dataCellStyle="Comma"/>
    <tableColumn id="27" xr3:uid="{78BB3D99-F937-4F43-8875-B7E23A6FA32B}" name="BLDP2" dataDxfId="1298" totalsRowDxfId="358" dataCellStyle="Comma"/>
    <tableColumn id="28" xr3:uid="{C59C5AD3-A4D8-7B4F-83F9-EFA750C2D5EB}" name="BMRA" dataDxfId="1297" totalsRowDxfId="357" dataCellStyle="Comma">
      <calculatedColumnFormula>AD4*(_xlfn.XLOOKUP(AC$3,TabCalc[Ticker],TabCalc[M])+AE4)</calculatedColumnFormula>
    </tableColumn>
    <tableColumn id="29" xr3:uid="{30176083-A0E5-FE4E-8CA3-9FF85C53DAA0}" name="BMRA1" dataDxfId="1296" totalsRowDxfId="356" dataCellStyle="Comma"/>
    <tableColumn id="30" xr3:uid="{157B3467-E16E-6B4C-B0AC-345A122E272E}" name="BMRA2" dataDxfId="1295" totalsRowDxfId="355" dataCellStyle="Comma"/>
    <tableColumn id="31" xr3:uid="{09259404-461E-4B42-97D7-BC216348265E}" name="C" dataDxfId="1294" totalsRowDxfId="354" dataCellStyle="Comma">
      <calculatedColumnFormula>AG4*(_xlfn.XLOOKUP(AF$3,TabCalc[Ticker],TabCalc[M])+AH4)</calculatedColumnFormula>
    </tableColumn>
    <tableColumn id="32" xr3:uid="{C2842856-FA06-F241-9877-F4F2A22D62C0}" name="C1" dataDxfId="1293" totalsRowDxfId="353" dataCellStyle="Comma"/>
    <tableColumn id="33" xr3:uid="{CE4D0E24-6414-C94A-9600-A11AABD3BC40}" name="C2" dataDxfId="1292" totalsRowDxfId="352" dataCellStyle="Comma"/>
    <tableColumn id="34" xr3:uid="{078D17E2-A2D5-3D4D-B742-157B8CB3F0BA}" name="CSCO" dataDxfId="1291" totalsRowDxfId="351" dataCellStyle="Comma">
      <calculatedColumnFormula>AJ4*(_xlfn.XLOOKUP(AI$3,TabCalc[Ticker],TabCalc[M])+AK4)</calculatedColumnFormula>
    </tableColumn>
    <tableColumn id="35" xr3:uid="{DA4CCFB4-3785-A448-BD12-B24CFFE15100}" name="CSCO1" dataDxfId="1290" totalsRowDxfId="350" dataCellStyle="Comma"/>
    <tableColumn id="36" xr3:uid="{706D3649-B8D9-CB46-85BB-2503E26E2C17}" name="CSCO2" dataDxfId="1289" totalsRowDxfId="349" dataCellStyle="Comma"/>
    <tableColumn id="37" xr3:uid="{C664F6F7-12B5-6842-8880-53DF3553EBE5}" name="CVS" dataDxfId="1288" totalsRowDxfId="348" dataCellStyle="Comma">
      <calculatedColumnFormula>AM4*(_xlfn.XLOOKUP(AL$3,TabCalc[Ticker],TabCalc[M])+AN4)</calculatedColumnFormula>
    </tableColumn>
    <tableColumn id="38" xr3:uid="{4661F2A7-EF10-8F47-A857-292ADCBC9FD1}" name="CVS1" dataDxfId="1287" totalsRowDxfId="347" dataCellStyle="Comma"/>
    <tableColumn id="39" xr3:uid="{846CEC17-7EC7-E84E-B199-0C0E8960419B}" name="CVS2" dataDxfId="1286" totalsRowDxfId="346" dataCellStyle="Comma"/>
    <tableColumn id="40" xr3:uid="{4DCD0661-9DF9-CE49-90F9-D694D57AE82F}" name="DDD" dataDxfId="1285" totalsRowDxfId="345" dataCellStyle="Comma">
      <calculatedColumnFormula>AP4*(_xlfn.XLOOKUP(AO$3,TabCalc[Ticker],TabCalc[M])+AQ4)</calculatedColumnFormula>
    </tableColumn>
    <tableColumn id="41" xr3:uid="{65C42C47-BEEF-5A43-8793-34D0816F3BC5}" name="DDD1" dataDxfId="1284" totalsRowDxfId="344" dataCellStyle="Comma"/>
    <tableColumn id="42" xr3:uid="{3B8ABE3C-1DCC-6A4B-970C-E21CDF07AC21}" name="DDD2" dataDxfId="1283" totalsRowDxfId="343" dataCellStyle="Comma"/>
    <tableColumn id="43" xr3:uid="{1569A28F-F511-5C4D-8DD6-30ACA757E7E7}" name="DIS" dataDxfId="1282" totalsRowDxfId="342" dataCellStyle="Comma">
      <calculatedColumnFormula>AS4*(_xlfn.XLOOKUP(AR$3,TabCalc[Ticker],TabCalc[M])+AT4)</calculatedColumnFormula>
    </tableColumn>
    <tableColumn id="44" xr3:uid="{E403B095-56DF-0641-9062-C7B3671154B2}" name="DIS1" dataDxfId="1281" totalsRowDxfId="341" dataCellStyle="Comma"/>
    <tableColumn id="45" xr3:uid="{8DFBDE8E-AC27-7A42-BE30-25EF0C39ED2D}" name="DIS2" dataDxfId="1280" totalsRowDxfId="340" dataCellStyle="Comma"/>
    <tableColumn id="46" xr3:uid="{6046D983-09F2-8342-B55E-38DC94662758}" name="DSY" dataDxfId="1279" totalsRowDxfId="339" dataCellStyle="Comma">
      <calculatedColumnFormula>AV4*(_xlfn.XLOOKUP(AU$3,TabCalc[Ticker],TabCalc[M])+AW4)</calculatedColumnFormula>
    </tableColumn>
    <tableColumn id="47" xr3:uid="{F8D640E4-7B06-4C41-8CCD-2056E9C5A036}" name="DSY1" dataDxfId="1278" totalsRowDxfId="338" dataCellStyle="Comma"/>
    <tableColumn id="48" xr3:uid="{B16CF993-FFAD-8348-9062-209D2EB1063C}" name="DSY2" dataDxfId="1277" totalsRowDxfId="337" dataCellStyle="Comma"/>
    <tableColumn id="49" xr3:uid="{16299194-B209-E04F-B83E-22E206A94209}" name="DVA" dataDxfId="1276" totalsRowDxfId="336" dataCellStyle="Comma">
      <calculatedColumnFormula>AY4*(_xlfn.XLOOKUP(AX$3,TabCalc[Ticker],TabCalc[M])+AZ4)</calculatedColumnFormula>
    </tableColumn>
    <tableColumn id="50" xr3:uid="{B0D37179-E335-0D45-9DAC-63F72DFDB690}" name="DVA1" dataDxfId="1275" totalsRowDxfId="335" dataCellStyle="Comma"/>
    <tableColumn id="51" xr3:uid="{4A45E220-F558-E14A-9111-D79E6AEE9F87}" name="DVA2" dataDxfId="1274" totalsRowDxfId="334" dataCellStyle="Comma"/>
    <tableColumn id="52" xr3:uid="{5FE7A652-62D3-034A-85CF-95616062006C}" name="DXC" dataDxfId="1273" totalsRowDxfId="333" dataCellStyle="Comma">
      <calculatedColumnFormula>BB4*(_xlfn.XLOOKUP(BA$3,TabCalc[Ticker],TabCalc[M])+BC4)</calculatedColumnFormula>
    </tableColumn>
    <tableColumn id="53" xr3:uid="{83D50AE1-D96C-5A4F-BBB5-435FC1C1CDCD}" name="DXC1" dataDxfId="1272" totalsRowDxfId="332" dataCellStyle="Comma"/>
    <tableColumn id="54" xr3:uid="{FD007891-17F4-544B-A18C-7CF33EC95A98}" name="DXC2" dataDxfId="1271" totalsRowDxfId="331" dataCellStyle="Comma"/>
    <tableColumn id="55" xr3:uid="{9AD98B59-186F-4645-B06F-1EFB866D9D3A}" name="EOAN" dataDxfId="1270" totalsRowDxfId="330" dataCellStyle="Comma">
      <calculatedColumnFormula>BE4*(_xlfn.XLOOKUP(BD$3,TabCalc[Ticker],TabCalc[M])+BF4)</calculatedColumnFormula>
    </tableColumn>
    <tableColumn id="56" xr3:uid="{2C37859C-05A6-2F46-A430-12020E97CDDA}" name="EOAN1" dataDxfId="1269" totalsRowDxfId="329" dataCellStyle="Comma"/>
    <tableColumn id="57" xr3:uid="{39A52E6F-F4D8-0A42-B6F4-7E059D490412}" name="EOAN2" dataDxfId="1268" totalsRowDxfId="328" dataCellStyle="Comma"/>
    <tableColumn id="58" xr3:uid="{7BBECE56-3D92-2F42-9FC8-DB87EB6560AC}" name="EPIX" dataDxfId="1267" totalsRowDxfId="327" dataCellStyle="Comma">
      <calculatedColumnFormula>BH4*(_xlfn.XLOOKUP(BG$3,TabCalc[Ticker],TabCalc[M])+BI4)</calculatedColumnFormula>
    </tableColumn>
    <tableColumn id="59" xr3:uid="{334321B6-C136-5045-B0D8-C45B5968E1F4}" name="EPIX1" dataDxfId="1266" totalsRowDxfId="326" dataCellStyle="Comma"/>
    <tableColumn id="60" xr3:uid="{65990670-CFEB-7B48-9CA3-1AA957BC261E}" name="EPIX2" dataDxfId="1265" totalsRowDxfId="325" dataCellStyle="Comma"/>
    <tableColumn id="61" xr3:uid="{336FC4A6-72E6-AD47-BB46-577B146714F1}" name="GM" dataDxfId="1264" totalsRowDxfId="324" dataCellStyle="Comma">
      <calculatedColumnFormula>BK4*(_xlfn.XLOOKUP(BJ$3,TabCalc[Ticker],TabCalc[M])+BL4)</calculatedColumnFormula>
    </tableColumn>
    <tableColumn id="62" xr3:uid="{C4B9154B-A497-C746-A22E-268498C355B1}" name="GM1" dataDxfId="1263" totalsRowDxfId="323" dataCellStyle="Comma"/>
    <tableColumn id="63" xr3:uid="{533CB1C3-2006-3A44-82D6-50E2F60B1390}" name="GM2" dataDxfId="1262" totalsRowDxfId="322" dataCellStyle="Comma"/>
    <tableColumn id="64" xr3:uid="{64C92ADD-B441-A54B-B34F-ACC0AAA55A6D}" name="HPE" dataDxfId="1261" totalsRowDxfId="321" dataCellStyle="Comma">
      <calculatedColumnFormula>BN4*(_xlfn.XLOOKUP(BM$3,TabCalc[Ticker],TabCalc[M])+BO4)</calculatedColumnFormula>
    </tableColumn>
    <tableColumn id="65" xr3:uid="{DDC3C698-57C9-8E40-9B44-03AEF5E2D33E}" name="HPE1" dataDxfId="1260" totalsRowDxfId="320" dataCellStyle="Comma"/>
    <tableColumn id="66" xr3:uid="{FE47C51F-A166-3D4F-B502-DB6D6F219911}" name="HPE2" dataDxfId="1259" totalsRowDxfId="319" dataCellStyle="Comma"/>
    <tableColumn id="67" xr3:uid="{17E23500-7942-B64E-82CA-F7883926C605}" name="HPQ" dataDxfId="1258" totalsRowDxfId="318" dataCellStyle="Comma">
      <calculatedColumnFormula>BQ4*(_xlfn.XLOOKUP(BP$3,TabCalc[Ticker],TabCalc[M])+BR4)</calculatedColumnFormula>
    </tableColumn>
    <tableColumn id="68" xr3:uid="{CA289335-17CB-674A-8A96-84F9C9BFB456}" name="HPQ1" dataDxfId="1257" totalsRowDxfId="317" dataCellStyle="Comma"/>
    <tableColumn id="69" xr3:uid="{D3EAC5FA-188A-F74E-956B-23A739D82BE2}" name="HPQ2" dataDxfId="1256" totalsRowDxfId="316" dataCellStyle="Comma"/>
    <tableColumn id="70" xr3:uid="{F794EEC2-757B-0B4C-A97F-488A63CF054F}" name="IAG" dataDxfId="1255" totalsRowDxfId="315" dataCellStyle="Comma">
      <calculatedColumnFormula>BT4*(_xlfn.XLOOKUP(BS$3,TabCalc[Ticker],TabCalc[M])+BU4)</calculatedColumnFormula>
    </tableColumn>
    <tableColumn id="71" xr3:uid="{C8D9C546-3E1E-3944-8CAE-5102C0B702A7}" name="IAG1" dataDxfId="1254" totalsRowDxfId="314" dataCellStyle="Comma"/>
    <tableColumn id="72" xr3:uid="{2711F9B5-1A47-ED40-91E3-53338F3897E5}" name="IAG2" dataDxfId="1253" totalsRowDxfId="313" dataCellStyle="Comma"/>
    <tableColumn id="73" xr3:uid="{F5FC5392-4456-AB4B-8BA4-9DBAE831115C}" name="KR" dataDxfId="1252" totalsRowDxfId="312" dataCellStyle="Comma">
      <calculatedColumnFormula>BW4*(_xlfn.XLOOKUP(BV$3,TabCalc[Ticker],TabCalc[M])+BX4)</calculatedColumnFormula>
    </tableColumn>
    <tableColumn id="74" xr3:uid="{777F8583-92B7-8F41-859A-79C3721421C1}" name="KR1" dataDxfId="1251" totalsRowDxfId="311" dataCellStyle="Comma"/>
    <tableColumn id="75" xr3:uid="{E99A7506-8017-FC4E-9CA2-52E6F7C05881}" name="KR2" dataDxfId="1250" totalsRowDxfId="310" dataCellStyle="Comma"/>
    <tableColumn id="76" xr3:uid="{920BB91C-1886-7148-98B1-FDFF98736F14}" name="LNSR" dataDxfId="1249" totalsRowDxfId="309" dataCellStyle="Comma">
      <calculatedColumnFormula>BZ4*(_xlfn.XLOOKUP(BY$3,TabCalc[Ticker],TabCalc[M])+CA4)</calculatedColumnFormula>
    </tableColumn>
    <tableColumn id="77" xr3:uid="{0CA43B86-716C-254E-860A-62C5E5FF6526}" name="LNSR1" dataDxfId="1248" totalsRowDxfId="308" dataCellStyle="Comma"/>
    <tableColumn id="78" xr3:uid="{7AEF95B8-712B-F642-87C9-6A9501098ED9}" name="LNSR2" dataDxfId="1247" totalsRowDxfId="307" dataCellStyle="Comma"/>
    <tableColumn id="79" xr3:uid="{3CDEC1EC-7A39-7C41-A8F5-6DD96DF561A2}" name="LUMN" dataDxfId="1246" totalsRowDxfId="306" dataCellStyle="Comma">
      <calculatedColumnFormula>CC4*(_xlfn.XLOOKUP(CB$3,TabCalc[Ticker],TabCalc[M])+CD4)</calculatedColumnFormula>
    </tableColumn>
    <tableColumn id="80" xr3:uid="{075ED823-73A8-3140-A535-39CB4912DA86}" name="LUMN1" dataDxfId="1245" totalsRowDxfId="305" dataCellStyle="Comma"/>
    <tableColumn id="81" xr3:uid="{EF42D74A-4522-2241-832E-A1E70E9145F9}" name="LUMN2" dataDxfId="1244" totalsRowDxfId="304" dataCellStyle="Comma"/>
    <tableColumn id="82" xr3:uid="{FAD1EB90-EE7E-7E4D-8F6A-D530C21860C4}" name="MRNA" dataDxfId="1243" totalsRowDxfId="303" dataCellStyle="Comma">
      <calculatedColumnFormula>CF4*(_xlfn.XLOOKUP(CE$3,TabCalc[Ticker],TabCalc[M])+CG4)</calculatedColumnFormula>
    </tableColumn>
    <tableColumn id="83" xr3:uid="{E96325F3-3FFB-4945-97DF-3E0B895B32BA}" name="MRNA1" dataDxfId="1242" totalsRowDxfId="302" dataCellStyle="Comma"/>
    <tableColumn id="84" xr3:uid="{38C36CD7-FFF3-B94D-BBA2-E3FCEDD9E2C9}" name="MRNA2" dataDxfId="1241" totalsRowDxfId="301" dataCellStyle="Comma"/>
    <tableColumn id="85" xr3:uid="{D3F7B5A1-68CB-DD47-95A2-C2A2F4FEB49A}" name="MSFT" dataDxfId="1240" totalsRowDxfId="300" dataCellStyle="Comma">
      <calculatedColumnFormula>CI4*(_xlfn.XLOOKUP(CH$3,TabCalc[Ticker],TabCalc[M])+CJ4)</calculatedColumnFormula>
    </tableColumn>
    <tableColumn id="86" xr3:uid="{498E253A-4894-CC4A-8BDB-D493B847ADEE}" name="MSFT1" dataDxfId="1239" totalsRowDxfId="299" dataCellStyle="Comma"/>
    <tableColumn id="87" xr3:uid="{6B7745C3-9073-9F42-86E9-6E29F372AB19}" name="MSFT2" dataDxfId="1238" totalsRowDxfId="298" dataCellStyle="Comma"/>
    <tableColumn id="88" xr3:uid="{7967BFC4-C0E3-5F41-B5FB-B99F8B1F4F60}" name="NEE" dataDxfId="1237" totalsRowDxfId="297" dataCellStyle="Comma">
      <calculatedColumnFormula>CL4*(_xlfn.XLOOKUP(CK$3,TabCalc[Ticker],TabCalc[M])+CM4)</calculatedColumnFormula>
    </tableColumn>
    <tableColumn id="89" xr3:uid="{E26FAAA2-E84A-664D-A186-5B869A89DE66}" name="NEE1" dataDxfId="1236" totalsRowDxfId="296" dataCellStyle="Comma"/>
    <tableColumn id="90" xr3:uid="{D4457184-AC90-FF46-A98C-28B4FE42662F}" name="NEE2" dataDxfId="1235" totalsRowDxfId="295" dataCellStyle="Comma"/>
    <tableColumn id="91" xr3:uid="{0350E67E-C364-DC45-860A-163A20CB2AF7}" name="NEM" dataDxfId="1234" totalsRowDxfId="294" dataCellStyle="Comma">
      <calculatedColumnFormula>CO4*(_xlfn.XLOOKUP(CN$3,TabCalc[Ticker],TabCalc[M])+CP4)</calculatedColumnFormula>
    </tableColumn>
    <tableColumn id="92" xr3:uid="{CC763123-44C0-0B48-8910-25EBF34C057F}" name="NEM1" dataDxfId="1233" totalsRowDxfId="293" dataCellStyle="Comma"/>
    <tableColumn id="93" xr3:uid="{BC59D84A-BD01-F546-A05F-73A544F2A66B}" name="NEM2" dataDxfId="1232" totalsRowDxfId="292" dataCellStyle="Comma"/>
    <tableColumn id="94" xr3:uid="{01C43689-6564-574E-8C2F-3218C46EED39}" name="NFLX" dataDxfId="1231" totalsRowDxfId="291" dataCellStyle="Comma">
      <calculatedColumnFormula>CR4*(_xlfn.XLOOKUP(CQ$3,TabCalc[Ticker],TabCalc[M])+CS4)</calculatedColumnFormula>
    </tableColumn>
    <tableColumn id="95" xr3:uid="{C61EBA53-FA20-E14E-AC13-AF5A204B1D64}" name="NFLX1" dataDxfId="1230" totalsRowDxfId="290" dataCellStyle="Comma"/>
    <tableColumn id="96" xr3:uid="{528E1A3F-ADF3-A041-AF88-A5D1CBE54694}" name="NFLX2" dataDxfId="1229" totalsRowDxfId="289" dataCellStyle="Comma"/>
    <tableColumn id="97" xr3:uid="{EE8DB3DE-C84A-7142-9DBE-22152BE7F05C}" name="NOTE" dataDxfId="1228" totalsRowDxfId="288" dataCellStyle="Comma">
      <calculatedColumnFormula>CU4*(_xlfn.XLOOKUP(CT$3,TabCalc[Ticker],TabCalc[M])+CV4)</calculatedColumnFormula>
    </tableColumn>
    <tableColumn id="98" xr3:uid="{3EB79190-BE55-FF41-A5B8-89261ABFCCEF}" name="NOTE1" dataDxfId="1227" totalsRowDxfId="287" dataCellStyle="Comma"/>
    <tableColumn id="99" xr3:uid="{C275B362-7AF8-D04D-A60A-29807754C61A}" name="NOTE2" dataDxfId="1226" totalsRowDxfId="286" dataCellStyle="Comma"/>
    <tableColumn id="100" xr3:uid="{84156E29-C75E-1549-93F0-4C22B621E470}" name="PAAS" dataDxfId="1225" totalsRowDxfId="285" dataCellStyle="Comma">
      <calculatedColumnFormula>CX4*(_xlfn.XLOOKUP(CW$3,TabCalc[Ticker],TabCalc[M])+CY4)</calculatedColumnFormula>
    </tableColumn>
    <tableColumn id="101" xr3:uid="{3074A862-D4A8-BC4A-8525-FBE77503EFCE}" name="PAAS1" dataDxfId="1224" totalsRowDxfId="284" dataCellStyle="Comma"/>
    <tableColumn id="102" xr3:uid="{B774B9E2-AFA0-CC40-8434-1E869C710642}" name="PAAS2" dataDxfId="1223" totalsRowDxfId="283" dataCellStyle="Comma"/>
    <tableColumn id="103" xr3:uid="{F59B1991-C44E-1842-B560-FD6BA7BF65E1}" name="PROF" dataDxfId="1222" totalsRowDxfId="282" dataCellStyle="Comma">
      <calculatedColumnFormula>DA4*(_xlfn.XLOOKUP(CZ$3,TabCalc[Ticker],TabCalc[M])+DB4)</calculatedColumnFormula>
    </tableColumn>
    <tableColumn id="104" xr3:uid="{7A648921-782B-094B-9AC1-9A3182FADEE7}" name="PROF1" dataDxfId="1221" totalsRowDxfId="281" dataCellStyle="Comma"/>
    <tableColumn id="105" xr3:uid="{E134CDF6-54A6-104D-A588-BD86FD67040F}" name="PROF2" dataDxfId="1220" totalsRowDxfId="280" dataCellStyle="Comma"/>
    <tableColumn id="106" xr3:uid="{86D65F56-DF53-CC4A-9E19-B529E65F1C75}" name="POET" dataDxfId="1219" totalsRowDxfId="279" dataCellStyle="Comma">
      <calculatedColumnFormula>DD4*(_xlfn.XLOOKUP(DC$3,TabCalc[Ticker],TabCalc[M])+DE4)</calculatedColumnFormula>
    </tableColumn>
    <tableColumn id="107" xr3:uid="{E9280078-06B8-9649-8650-511767770BD3}" name="POET1" dataDxfId="1218" totalsRowDxfId="278" dataCellStyle="Comma"/>
    <tableColumn id="108" xr3:uid="{2E35D0FA-1511-8C47-B29B-8A3751083E79}" name="POET2" dataDxfId="1217" totalsRowDxfId="277" dataCellStyle="Comma"/>
    <tableColumn id="109" xr3:uid="{ACDC3A1B-310F-344D-A25D-EFAF2DA754F5}" name="PW" dataDxfId="1216" totalsRowDxfId="276" dataCellStyle="Comma">
      <calculatedColumnFormula>DG4*(_xlfn.XLOOKUP(DF$3,TabCalc[Ticker],TabCalc[M])+DH4)</calculatedColumnFormula>
    </tableColumn>
    <tableColumn id="110" xr3:uid="{FAEE4FEA-62CA-294D-ABF9-4563064E6BA8}" name="PW1" dataDxfId="1215" totalsRowDxfId="275" dataCellStyle="Comma"/>
    <tableColumn id="111" xr3:uid="{80FF5CFA-8F63-894A-9C56-7A6A804F620F}" name="PW2" dataDxfId="1214" totalsRowDxfId="274" dataCellStyle="Comma"/>
    <tableColumn id="112" xr3:uid="{FE3C1657-D29A-254B-8304-D173720389C1}" name="RIGL" dataDxfId="1213" totalsRowDxfId="273" dataCellStyle="Comma">
      <calculatedColumnFormula>DJ4*(_xlfn.XLOOKUP(DI$3,TabCalc[Ticker],TabCalc[M])+DK4)</calculatedColumnFormula>
    </tableColumn>
    <tableColumn id="113" xr3:uid="{39AEED7D-52C8-8347-BCA2-C8207398A415}" name="RIGL1" dataDxfId="1212" totalsRowDxfId="272" dataCellStyle="Comma"/>
    <tableColumn id="114" xr3:uid="{65A5449B-6191-3848-AAE6-E474979A4826}" name="RIGL2" dataDxfId="1211" totalsRowDxfId="271" dataCellStyle="Comma"/>
    <tableColumn id="115" xr3:uid="{64B37DD2-A420-3A4C-BB41-103D11E44E00}" name="RWE" dataDxfId="1210" totalsRowDxfId="270" dataCellStyle="Comma">
      <calculatedColumnFormula>DM4*(_xlfn.XLOOKUP(DL$3,TabCalc[Ticker],TabCalc[M])+DN4)</calculatedColumnFormula>
    </tableColumn>
    <tableColumn id="116" xr3:uid="{0C8DB87B-3DFF-F849-803F-304BE29ACE6F}" name="RWE1" dataDxfId="1209" totalsRowDxfId="269" dataCellStyle="Comma"/>
    <tableColumn id="117" xr3:uid="{F03B718E-935E-5944-8702-A489484FF2A5}" name="RWE2" dataDxfId="1208" totalsRowDxfId="268" dataCellStyle="Comma"/>
    <tableColumn id="118" xr3:uid="{E81E3112-8486-004F-A62E-9163C465EABC}" name="SAP" dataDxfId="1207" totalsRowDxfId="267" dataCellStyle="Comma">
      <calculatedColumnFormula>DP4*(_xlfn.XLOOKUP(DO$3,TabCalc[Ticker],TabCalc[M])+DQ4)</calculatedColumnFormula>
    </tableColumn>
    <tableColumn id="119" xr3:uid="{DF7A2077-A8B7-B24B-BCC7-9A5CE980BB63}" name="SAP1" dataDxfId="1206" totalsRowDxfId="266" dataCellStyle="Comma"/>
    <tableColumn id="120" xr3:uid="{81BAD1BF-576A-C14A-B5BC-22A810BF9C8B}" name="SAP2" dataDxfId="1205" totalsRowDxfId="265" dataCellStyle="Comma"/>
    <tableColumn id="121" xr3:uid="{F83ADD54-B4F0-BE40-98DA-A3F47F9655A7}" name="SHECY" dataDxfId="1204" totalsRowDxfId="264" dataCellStyle="Comma">
      <calculatedColumnFormula>DS4*(_xlfn.XLOOKUP(DR$3,TabCalc[Ticker],TabCalc[M])+DT4)</calculatedColumnFormula>
    </tableColumn>
    <tableColumn id="122" xr3:uid="{22AC636A-1AE3-5E4B-B841-E385E86CDD56}" name="SHECY1" dataDxfId="1203" totalsRowDxfId="263" dataCellStyle="Comma"/>
    <tableColumn id="123" xr3:uid="{388F1694-2482-C14D-B433-CDD72262C7F2}" name="SHECY2" dataDxfId="1202" totalsRowDxfId="262" dataCellStyle="Comma"/>
    <tableColumn id="124" xr3:uid="{20F10A2E-5921-DF40-8350-2F803C2D284F}" name="SSYS" dataDxfId="1201" totalsRowDxfId="261" dataCellStyle="Comma">
      <calculatedColumnFormula>DV4*(_xlfn.XLOOKUP(DU$3,TabCalc[Ticker],TabCalc[M])+DW4)</calculatedColumnFormula>
    </tableColumn>
    <tableColumn id="125" xr3:uid="{CFB45D49-E59D-E94A-91A9-6D7BFA0DA4BF}" name="SSYS1" dataDxfId="1200" totalsRowDxfId="260" dataCellStyle="Comma"/>
    <tableColumn id="126" xr3:uid="{FBE6F387-DE88-A54B-8EDA-5A7F03478FE9}" name="SSYS2" dataDxfId="1199" totalsRowDxfId="259" dataCellStyle="Comma"/>
    <tableColumn id="127" xr3:uid="{729B6E9F-E8D7-8743-8199-94F998ED5529}" name="TSLA" dataDxfId="1198" totalsRowDxfId="258" dataCellStyle="Comma">
      <calculatedColumnFormula>DY4*(_xlfn.XLOOKUP(DX$3,TabCalc[Ticker],TabCalc[M])+DZ4)</calculatedColumnFormula>
    </tableColumn>
    <tableColumn id="128" xr3:uid="{5FC83869-9BDE-DB42-89C9-A75961A28912}" name="TSLA1" dataDxfId="1197" totalsRowDxfId="257" dataCellStyle="Comma"/>
    <tableColumn id="129" xr3:uid="{7ED7429F-A831-2741-B223-E18CF879D0FF}" name="TSLA2" dataDxfId="1196" totalsRowDxfId="256" dataCellStyle="Comma"/>
    <tableColumn id="130" xr3:uid="{8F2F86A1-AB73-4C45-B6A3-71BCA5A197E9}" name="TSM" dataDxfId="1195" totalsRowDxfId="255" dataCellStyle="Comma">
      <calculatedColumnFormula>EB4*(_xlfn.XLOOKUP(EA$3,TabCalc[Ticker],TabCalc[M])+EC4)</calculatedColumnFormula>
    </tableColumn>
    <tableColumn id="131" xr3:uid="{44F96535-4AB3-654D-9E97-294D66B63AA9}" name="TSM1" dataDxfId="1194" totalsRowDxfId="254" dataCellStyle="Comma"/>
    <tableColumn id="132" xr3:uid="{C9083538-F7CF-244B-BA6D-8F04FACB053E}" name="TSM2" dataDxfId="1193" totalsRowDxfId="253" dataCellStyle="Comma"/>
    <tableColumn id="133" xr3:uid="{FC95878B-E72D-B64D-A477-817226300E96}" name="UN0" dataDxfId="1192" totalsRowDxfId="252" dataCellStyle="Comma">
      <calculatedColumnFormula>EE4*(_xlfn.XLOOKUP(ED$3,TabCalc[Ticker],TabCalc[M])+EF4)</calculatedColumnFormula>
    </tableColumn>
    <tableColumn id="134" xr3:uid="{7E5B9EDF-F393-2448-A152-B30F39B596FD}" name="UN01" dataDxfId="1191" totalsRowDxfId="251" dataCellStyle="Comma"/>
    <tableColumn id="135" xr3:uid="{65FB4079-20B9-BC47-9D99-5CC5FE09BDF5}" name="UN02" dataDxfId="1190" totalsRowDxfId="250" dataCellStyle="Comma"/>
    <tableColumn id="136" xr3:uid="{6D8B7C95-E8BD-CF4E-A0F8-6ACCCE764AF4}" name="UNIT" dataDxfId="1189" totalsRowDxfId="249" dataCellStyle="Comma">
      <calculatedColumnFormula>EH4*(_xlfn.XLOOKUP(EG$3,TabCalc[Ticker],TabCalc[M])+EI4)</calculatedColumnFormula>
    </tableColumn>
    <tableColumn id="137" xr3:uid="{0F1D805F-0864-C14A-9BA6-E30A638F801B}" name="UNIT1" dataDxfId="1188" totalsRowDxfId="248" dataCellStyle="Comma"/>
    <tableColumn id="138" xr3:uid="{8339927D-798A-374E-952D-498E693C2F81}" name="UNIT2" dataDxfId="1187" totalsRowDxfId="247" dataCellStyle="Comma"/>
    <tableColumn id="139" xr3:uid="{E86CE4B2-67C3-E946-99EE-215F9AFBB44B}" name="Free" dataDxfId="1186" totalsRowDxfId="246" dataCellStyle="Comma">
      <calculatedColumnFormula>EK4*(_xlfn.XLOOKUP(EJ$3,TabCalc[Ticker],TabCalc[M])+EL4)</calculatedColumnFormula>
    </tableColumn>
    <tableColumn id="140" xr3:uid="{2A1F7BD6-D7FB-5149-B6B0-D7DE17D011FF}" name="Free1" dataDxfId="1185" totalsRowDxfId="245" dataCellStyle="Comma"/>
    <tableColumn id="141" xr3:uid="{33907480-858B-7E4F-AFC4-0EDC7312C3F7}" name="Free2" dataDxfId="1184" totalsRowDxfId="244" dataCellStyle="Comma"/>
    <tableColumn id="142" xr3:uid="{00D1CCC4-1D2A-0345-A1E0-9F720EA238C8}" name="VLVLY" dataDxfId="1183" totalsRowDxfId="243" dataCellStyle="Comma">
      <calculatedColumnFormula>EN4*(_xlfn.XLOOKUP(EM$3,TabCalc[Ticker],TabCalc[M])+EO4)</calculatedColumnFormula>
    </tableColumn>
    <tableColumn id="143" xr3:uid="{ECF23EF1-8B60-9744-9A10-58CBC82F4625}" name="VLVLY1" dataDxfId="1182" totalsRowDxfId="242" dataCellStyle="Comma"/>
    <tableColumn id="144" xr3:uid="{7004DF05-E0F2-794A-AB5E-B44C42C1B293}" name="VLVLY2" dataDxfId="1181" totalsRowDxfId="241" dataCellStyle="Comma"/>
    <tableColumn id="145" xr3:uid="{41F14CA5-D644-7844-92B5-1CDA6AD1EDBD}" name="VONN" dataDxfId="1180" totalsRowDxfId="240" dataCellStyle="Comma">
      <calculatedColumnFormula>EQ4*(_xlfn.XLOOKUP(EP$3,TabCalc[Ticker],TabCalc[M])+ER4)</calculatedColumnFormula>
    </tableColumn>
    <tableColumn id="146" xr3:uid="{D4CB0390-24B1-184E-9999-820F8A0A3E71}" name="VONN1" dataDxfId="1179" totalsRowDxfId="239" dataCellStyle="Comma"/>
    <tableColumn id="147" xr3:uid="{0F61E6EC-5AA7-4E4E-9881-330A85520104}" name="VONN2" dataDxfId="1178" totalsRowDxfId="238" dataCellStyle="Comma"/>
    <tableColumn id="148" xr3:uid="{42C8BF39-DEFC-3D4D-8A5D-2BA2E330D8D9}" name="VTRS" dataDxfId="1177" totalsRowDxfId="237" dataCellStyle="Comma">
      <calculatedColumnFormula>ET4*(_xlfn.XLOOKUP(ES$3,TabCalc[Ticker],TabCalc[M])+EU4)</calculatedColumnFormula>
    </tableColumn>
    <tableColumn id="149" xr3:uid="{0E05FFE0-E1FD-7241-BD67-7FD0BF47A6E7}" name="VTRS1" dataDxfId="1176" totalsRowDxfId="236" dataCellStyle="Comma"/>
    <tableColumn id="150" xr3:uid="{4D304682-5B3C-9443-A1F2-DD94157006BF}" name="VTRS2" dataDxfId="1175" totalsRowDxfId="235" dataCellStyle="Comma"/>
    <tableColumn id="151" xr3:uid="{6FAB44FC-5959-A841-BE04-05A288B83A96}" name="WBA" dataDxfId="1174" totalsRowDxfId="234" dataCellStyle="Comma">
      <calculatedColumnFormula>EW4*(_xlfn.XLOOKUP(EV$3,TabCalc[Ticker],TabCalc[M])+EX4)</calculatedColumnFormula>
    </tableColumn>
    <tableColumn id="152" xr3:uid="{EB1E6E75-1A3D-F54A-BDAC-B7FB81FAAA76}" name="WBA1" dataDxfId="1173" totalsRowDxfId="233" dataCellStyle="Comma"/>
    <tableColumn id="153" xr3:uid="{0E0D2AAF-3A9E-9B42-B1C7-78FF8512709B}" name="WBA2" dataDxfId="1172" totalsRowDxfId="232"/>
    <tableColumn id="154" xr3:uid="{78C7D213-AD65-A147-B2D4-136490099172}" name="XOM" dataDxfId="1171" totalsRowDxfId="231" dataCellStyle="Comma">
      <calculatedColumnFormula>EZ4*(_xlfn.XLOOKUP(EY$3,TabCalc[Ticker],TabCalc[M])+FA4)</calculatedColumnFormula>
    </tableColumn>
    <tableColumn id="155" xr3:uid="{5FC889AE-E8E8-0C48-B5C2-8A78C0BB67CB}" name="XOM1" dataDxfId="1170" totalsRowDxfId="230" dataCellStyle="Comma"/>
    <tableColumn id="156" xr3:uid="{4431D097-8451-014D-BC06-B1985AD57878}" name="XOM2" dataDxfId="1169" totalsRowDxfId="229"/>
    <tableColumn id="157" xr3:uid="{0E46A2D5-3273-B447-BEED-AE25F7D069CD}" name="XPER" dataDxfId="1168" totalsRowDxfId="228" dataCellStyle="Comma">
      <calculatedColumnFormula>FC4*(_xlfn.XLOOKUP(FB$3,TabCalc[Ticker],TabCalc[M])+FD4)</calculatedColumnFormula>
    </tableColumn>
    <tableColumn id="158" xr3:uid="{E61E2579-C816-774A-B173-ABA6CCC18EE0}" name="XPER1" dataDxfId="1167" totalsRowDxfId="227" dataCellStyle="Comma"/>
    <tableColumn id="159" xr3:uid="{265E885E-1CAF-0748-9DE0-769739590A1B}" name="XPER2" dataDxfId="1166" totalsRowDxfId="226"/>
    <tableColumn id="160" xr3:uid="{3820CAC2-68B6-3748-A506-ADBB9F837618}" name="MVEALDNE" dataDxfId="1165" totalsRowDxfId="225" dataCellStyle="Comma">
      <calculatedColumnFormula>FF4*(_xlfn.XLOOKUP(FE$3,TabCalc[Ticker],TabCalc[M])+FG4)</calculatedColumnFormula>
    </tableColumn>
    <tableColumn id="161" xr3:uid="{A0543065-1D11-C54C-960C-D08B13ADB829}" name="MVEALDNE1" dataDxfId="1164" totalsRowDxfId="224" dataCellStyle="Comma"/>
    <tableColumn id="162" xr3:uid="{BD3314F7-04D1-874A-8549-329C72734F3D}" name="MVEALDNE2" dataDxfId="1163" totalsRowDxfId="223" dataCellStyle="Comma"/>
    <tableColumn id="163" xr3:uid="{C8F49C24-279A-A346-B056-A737A6F85AE9}" name="MVEDDD" dataDxfId="1162" totalsRowDxfId="222" dataCellStyle="Comma">
      <calculatedColumnFormula>FI4*(_xlfn.XLOOKUP(FH$3,TabCalc[Ticker],TabCalc[M])+FJ4)</calculatedColumnFormula>
    </tableColumn>
    <tableColumn id="164" xr3:uid="{B06AB4B5-078A-424C-87F9-13B7C649DD51}" name="MVEDDD1" dataDxfId="1161" totalsRowDxfId="221" dataCellStyle="Comma"/>
    <tableColumn id="165" xr3:uid="{5D1FC6AB-E21E-C246-A0CF-D8247A189BAC}" name="MVEDDD2" dataDxfId="1160" totalsRowDxfId="220" dataCellStyle="Comma"/>
    <tableColumn id="166" xr3:uid="{75E6225D-62D5-4742-AFA8-9736C31E2BFF}" name="MVEDSY" dataDxfId="1159" totalsRowDxfId="219" dataCellStyle="Comma">
      <calculatedColumnFormula>FL4*(_xlfn.XLOOKUP(FK$3,TabCalc[Ticker],TabCalc[M])+FM4)</calculatedColumnFormula>
    </tableColumn>
    <tableColumn id="167" xr3:uid="{966A6923-293E-2444-9A23-5F7BB5A04262}" name="MVEDSY1" dataDxfId="1158" totalsRowDxfId="218" dataCellStyle="Comma"/>
    <tableColumn id="168" xr3:uid="{1118E635-3B19-DB46-9F11-B12BB1E875FC}" name="MVEDSY2" dataDxfId="1157" totalsRowDxfId="217" dataCellStyle="Comma"/>
    <tableColumn id="169" xr3:uid="{2E957AA9-B081-A14E-9108-FF128A790B84}" name="MVEEOAN" dataDxfId="1156" totalsRowDxfId="216" dataCellStyle="Comma">
      <calculatedColumnFormula>FO4*(_xlfn.XLOOKUP(FN$3,TabCalc[Ticker],TabCalc[M])+FP4)</calculatedColumnFormula>
    </tableColumn>
    <tableColumn id="170" xr3:uid="{A0606DA9-0DC0-D14E-94B7-BDC8F26A844B}" name="MVEEOAN1" dataDxfId="1155" totalsRowDxfId="215" dataCellStyle="Comma"/>
    <tableColumn id="171" xr3:uid="{03F498C0-CF20-AC4C-813D-E60D1042341A}" name="MVEEOAN2" dataDxfId="1154" totalsRowDxfId="214" dataCellStyle="Comma"/>
    <tableColumn id="172" xr3:uid="{D4905E0E-6225-7A4B-B4D3-C4A9E8817C59}" name="MVEENI" dataDxfId="1153" totalsRowDxfId="213" dataCellStyle="Comma">
      <calculatedColumnFormula>FR4*(_xlfn.XLOOKUP(FQ$3,TabCalc[Ticker],TabCalc[M])+FS4)</calculatedColumnFormula>
    </tableColumn>
    <tableColumn id="173" xr3:uid="{64B53446-A0B1-8246-B470-E50AB2C5EDC9}" name="MVEENI1" dataDxfId="1152" totalsRowDxfId="212" dataCellStyle="Comma"/>
    <tableColumn id="174" xr3:uid="{1EE87B8D-7646-2748-9950-418A6569C95E}" name="MVEENI2" dataDxfId="1151" totalsRowDxfId="211" dataCellStyle="Comma"/>
    <tableColumn id="175" xr3:uid="{CE13D8FB-3DD0-2D4D-8B70-CBBD6D591004}" name="MVEEPIX" dataDxfId="1150" totalsRowDxfId="210" dataCellStyle="Comma">
      <calculatedColumnFormula>FU4*(_xlfn.XLOOKUP(FT$3,TabCalc[Ticker],TabCalc[M])+FV4)</calculatedColumnFormula>
    </tableColumn>
    <tableColumn id="176" xr3:uid="{9685FEC9-D23A-4A49-A43D-9AFF22AF6B6B}" name="MVEEPIX1" dataDxfId="1149" totalsRowDxfId="209" dataCellStyle="Comma"/>
    <tableColumn id="177" xr3:uid="{DD9AA91E-A700-B044-9B39-2039AD46446A}" name="MVEEPIX2" dataDxfId="1148" totalsRowDxfId="208" dataCellStyle="Comma"/>
    <tableColumn id="178" xr3:uid="{E730A607-73BA-6741-8FD9-2DB67F9B782A}" name="MVEGLE" dataDxfId="1147" totalsRowDxfId="207" dataCellStyle="Comma">
      <calculatedColumnFormula>FX4*(_xlfn.XLOOKUP(FW$3,TabCalc[Ticker],TabCalc[M])+FY4)</calculatedColumnFormula>
    </tableColumn>
    <tableColumn id="179" xr3:uid="{BEB0F207-007F-BD4F-92A0-37F8695434E9}" name="MVEGLE1" dataDxfId="1146" totalsRowDxfId="206" dataCellStyle="Comma"/>
    <tableColumn id="180" xr3:uid="{29F037D3-4405-6543-B349-A70079931FB1}" name="MVEGLE2" dataDxfId="1145" totalsRowDxfId="205" dataCellStyle="Comma"/>
    <tableColumn id="181" xr3:uid="{C8B245DB-DF16-FC4F-931F-E81CB9BBF7B2}" name="MVEORA" dataDxfId="1144" totalsRowDxfId="204" dataCellStyle="Comma">
      <calculatedColumnFormula>GA4*(_xlfn.XLOOKUP(FZ$3,TabCalc[Ticker],TabCalc[M])+GB4)</calculatedColumnFormula>
    </tableColumn>
    <tableColumn id="182" xr3:uid="{D903C307-9791-7445-84DE-4733652E096C}" name="MVEORA1" dataDxfId="1143" totalsRowDxfId="203" dataCellStyle="Comma"/>
    <tableColumn id="183" xr3:uid="{B918E06A-7F74-4B48-9C49-E84E94857CE2}" name="MVEORA2" dataDxfId="1142" totalsRowDxfId="202" dataCellStyle="Comma"/>
    <tableColumn id="184" xr3:uid="{15C75F0C-7812-B844-9CE0-4120E521988E}" name="MVERWE" dataDxfId="1141" totalsRowDxfId="201" dataCellStyle="Comma">
      <calculatedColumnFormula>GD4*(_xlfn.XLOOKUP(GC$3,TabCalc[Ticker],TabCalc[M])+GE4)</calculatedColumnFormula>
    </tableColumn>
    <tableColumn id="185" xr3:uid="{F34D96F3-8856-124C-B582-F166D95DE24E}" name="MVERWE1" dataDxfId="1140" totalsRowDxfId="200" dataCellStyle="Comma"/>
    <tableColumn id="186" xr3:uid="{7C6D5177-8805-364D-96E9-808F000002BE}" name="MVERWE2" dataDxfId="1139" totalsRowDxfId="199" dataCellStyle="Comma"/>
    <tableColumn id="187" xr3:uid="{6FDB4658-5ED5-3B4F-9594-F34A6C55A047}" name="MVESAP" dataDxfId="1138" totalsRowDxfId="198" dataCellStyle="Comma">
      <calculatedColumnFormula>GG4*(_xlfn.XLOOKUP(GF$3,TabCalc[Ticker],TabCalc[M])+GH4)</calculatedColumnFormula>
    </tableColumn>
    <tableColumn id="188" xr3:uid="{9172DE0E-F5D9-6D45-9FA5-13F9353D77CE}" name="MVESAP1" dataDxfId="1137" totalsRowDxfId="197" dataCellStyle="Comma"/>
    <tableColumn id="189" xr3:uid="{440AACDB-64D0-FB4F-8A2A-D0897192C709}" name="MVESAP2" dataDxfId="1136" totalsRowDxfId="196" dataCellStyle="Comma"/>
    <tableColumn id="190" xr3:uid="{0FCF7579-5965-604A-A65D-258362E4C2BE}" name="MVEUN0" dataDxfId="1135" totalsRowDxfId="195" dataCellStyle="Comma">
      <calculatedColumnFormula>GJ4*(_xlfn.XLOOKUP(GI$3,TabCalc[Ticker],TabCalc[M])+GK4)</calculatedColumnFormula>
    </tableColumn>
    <tableColumn id="191" xr3:uid="{57F9CA37-2493-8148-8436-143BE0A5D9E0}" name="MVEUN01" dataDxfId="1134" totalsRowDxfId="194" dataCellStyle="Comma"/>
    <tableColumn id="192" xr3:uid="{DFD39CE4-780E-884B-BC2E-280709B1BCDA}" name="MVEUN02" dataDxfId="1133" totalsRowDxfId="193" dataCellStyle="Comma"/>
    <tableColumn id="193" xr3:uid="{E3D86E5C-3036-3745-9926-210CAAFAD7C8}" name="SAFAAPL" totalsRowFunction="sum" dataDxfId="1132" totalsRowDxfId="192" dataCellStyle="Comma">
      <calculatedColumnFormula>GM4*(_xlfn.XLOOKUP(GL$3,TabCalc[Ticker],TabCalc[M])+GN4)</calculatedColumnFormula>
    </tableColumn>
    <tableColumn id="194" xr3:uid="{FF18444A-A208-FE43-9CFF-64026A262E73}" name="SAFAAPL1" totalsRowFunction="sum" dataDxfId="1131" totalsRowDxfId="191" dataCellStyle="Comma"/>
    <tableColumn id="195" xr3:uid="{84176513-3FA0-1545-94D9-D44CFF5883FA}" name="SAFAAPL2" totalsRowFunction="average" dataDxfId="1130" totalsRowDxfId="190" dataCellStyle="Comma"/>
    <tableColumn id="196" xr3:uid="{4CBA2AA6-F524-194B-A9E1-1915FFFFA4C8}" name="SAFAMZN" totalsRowFunction="sum" dataDxfId="1129" totalsRowDxfId="189" dataCellStyle="Comma">
      <calculatedColumnFormula>GP4*(_xlfn.XLOOKUP(GO$3,TabCalc[Ticker],TabCalc[M])+GQ4)</calculatedColumnFormula>
    </tableColumn>
    <tableColumn id="197" xr3:uid="{AE80B7F0-A13E-BD45-803B-55C1C01EE9C5}" name="SAFAMZN1" totalsRowFunction="sum" dataDxfId="1128" totalsRowDxfId="188" dataCellStyle="Comma"/>
    <tableColumn id="198" xr3:uid="{64F06311-56C7-E84F-BD4C-989A8B345110}" name="SAFAMZN2" totalsRowFunction="average" dataDxfId="1127" totalsRowDxfId="187" dataCellStyle="Comma"/>
    <tableColumn id="199" xr3:uid="{775363EB-0F54-C541-8562-4A379B17EADC}" name="SAFASML" totalsRowFunction="sum" dataDxfId="1126" totalsRowDxfId="186" dataCellStyle="Comma">
      <calculatedColumnFormula>GS4*(_xlfn.XLOOKUP(GR$3,TabCalc[Ticker],TabCalc[M])+GT4)</calculatedColumnFormula>
    </tableColumn>
    <tableColumn id="200" xr3:uid="{46C8FB70-49E5-DA4E-B9C6-85E89CBBB5D2}" name="SAFASML1" totalsRowFunction="sum" dataDxfId="1125" totalsRowDxfId="185" dataCellStyle="Comma"/>
    <tableColumn id="201" xr3:uid="{5CFC5AE2-BB9E-BF4E-9536-714C86396EB9}" name="SAFASML2" totalsRowFunction="average" dataDxfId="1124" totalsRowDxfId="184" dataCellStyle="Comma"/>
    <tableColumn id="202" xr3:uid="{2B388994-C6C9-0145-B61B-B365A9E7944D}" name="SAFDDD" totalsRowFunction="sum" dataDxfId="1123" totalsRowDxfId="183" dataCellStyle="Comma">
      <calculatedColumnFormula>GV4*(_xlfn.XLOOKUP(GU$3,TabCalc[Ticker],TabCalc[M])+GW4)</calculatedColumnFormula>
    </tableColumn>
    <tableColumn id="203" xr3:uid="{EC7D730F-171D-5841-B2E3-8CCB70DE842F}" name="SAFDDD1" totalsRowFunction="sum" dataDxfId="1122" totalsRowDxfId="182" dataCellStyle="Comma"/>
    <tableColumn id="204" xr3:uid="{5FAAEB35-DECD-244B-B6B4-4926CB30645A}" name="SAFDDD2" totalsRowFunction="average" dataDxfId="1121" totalsRowDxfId="181" dataCellStyle="Comma"/>
    <tableColumn id="205" xr3:uid="{AED14D0A-9588-F14F-9433-95F490D9E17E}" name="SAFDIS" totalsRowFunction="sum" dataDxfId="1120" totalsRowDxfId="180" dataCellStyle="Comma">
      <calculatedColumnFormula>GY4*(_xlfn.XLOOKUP(GX$3,TabCalc[Ticker],TabCalc[M])+GZ4)</calculatedColumnFormula>
    </tableColumn>
    <tableColumn id="206" xr3:uid="{114427FC-7455-B04A-A6DD-826FA591A5EE}" name="SAFDIS1" totalsRowFunction="sum" dataDxfId="1119" totalsRowDxfId="179" dataCellStyle="Comma"/>
    <tableColumn id="207" xr3:uid="{237C6617-E1E6-9A45-A95E-AF4856201610}" name="SAFDIS2" totalsRowFunction="average" dataDxfId="1118" totalsRowDxfId="178" dataCellStyle="Comma"/>
    <tableColumn id="208" xr3:uid="{4E509DFA-86B7-CD4F-9F15-18F2851CBFE7}" name="SAFGM" totalsRowFunction="sum" dataDxfId="1117" totalsRowDxfId="177" dataCellStyle="Comma">
      <calculatedColumnFormula>HB4*(_xlfn.XLOOKUP(HA$3,TabCalc[Ticker],TabCalc[M])+HC4)</calculatedColumnFormula>
    </tableColumn>
    <tableColumn id="209" xr3:uid="{E12ABEE4-9265-9343-9331-DC1DBFA56091}" name="SAFGM1" totalsRowFunction="sum" dataDxfId="1116" totalsRowDxfId="176" dataCellStyle="Comma"/>
    <tableColumn id="210" xr3:uid="{B4D1E6C5-EA57-0545-9936-5131B6AFAB33}" name="SAFGM2" totalsRowFunction="average" dataDxfId="1115" totalsRowDxfId="175" dataCellStyle="Comma"/>
    <tableColumn id="211" xr3:uid="{27E94563-2841-AF44-882D-8B7C4CF26E41}" name="SAFIAG" totalsRowFunction="sum" dataDxfId="1114" totalsRowDxfId="174" dataCellStyle="Comma">
      <calculatedColumnFormula>HE4*(_xlfn.XLOOKUP(HD$3,TabCalc[Ticker],TabCalc[M])+HF4)</calculatedColumnFormula>
    </tableColumn>
    <tableColumn id="212" xr3:uid="{015596F7-028B-EF41-8610-35212F6C6E0A}" name="SAFIAG1" totalsRowFunction="sum" dataDxfId="1113" totalsRowDxfId="173" dataCellStyle="Comma"/>
    <tableColumn id="213" xr3:uid="{1E90A488-7D24-2641-89A0-5E10BB30D3E2}" name="SAFIAG2" totalsRowFunction="average" dataDxfId="1112" totalsRowDxfId="172" dataCellStyle="Comma"/>
    <tableColumn id="214" xr3:uid="{E2934692-5F80-5142-A085-BAB3016D1D7D}" name="SAFMRNA" totalsRowFunction="sum" dataDxfId="1111" totalsRowDxfId="171" dataCellStyle="Comma">
      <calculatedColumnFormula>HH4*(_xlfn.XLOOKUP(HG$3,TabCalc[Ticker],TabCalc[M])+HI4)</calculatedColumnFormula>
    </tableColumn>
    <tableColumn id="215" xr3:uid="{B5288CAF-4E4E-6A41-8D03-CFF98B939A73}" name="SAFMRNA1" totalsRowFunction="sum" dataDxfId="1110" totalsRowDxfId="170" dataCellStyle="Comma"/>
    <tableColumn id="216" xr3:uid="{E379AF68-9AF7-5645-B486-E8B292B5F7C7}" name="SAFMRNA2" totalsRowFunction="average" dataDxfId="1109" totalsRowDxfId="169" dataCellStyle="Comma"/>
    <tableColumn id="217" xr3:uid="{7669526C-C45D-164B-B7FC-D486C9FF0CED}" name="BLNK" totalsRowFunction="sum" dataDxfId="1108" totalsRowDxfId="168" dataCellStyle="Comma">
      <calculatedColumnFormula>HK4*(_xlfn.XLOOKUP(HJ$3,TabCalc[Ticker],TabCalc[M])+HL4)</calculatedColumnFormula>
    </tableColumn>
    <tableColumn id="218" xr3:uid="{EB728490-D337-F843-A196-E31315AE89DA}" name="BLNK1" totalsRowFunction="sum" dataDxfId="1107" totalsRowDxfId="167" dataCellStyle="Comma"/>
    <tableColumn id="219" xr3:uid="{49A5A043-B549-214A-915F-58CDC0E497DA}" name="BLNK2" totalsRowFunction="average" dataDxfId="1106" totalsRowDxfId="166" dataCellStyle="Comma"/>
    <tableColumn id="220" xr3:uid="{C225E383-5B3A-D246-BE92-549A7117AA19}" name="ENI" totalsRowFunction="sum" dataDxfId="1105" totalsRowDxfId="165" dataCellStyle="Comma">
      <calculatedColumnFormula>HN4*(_xlfn.XLOOKUP(HM$3,TabCalc[Ticker],TabCalc[M])+HO4)</calculatedColumnFormula>
    </tableColumn>
    <tableColumn id="221" xr3:uid="{58DD1976-BCC3-1641-94EA-C37E2379D322}" name="ENI1" totalsRowFunction="sum" dataDxfId="1104" totalsRowDxfId="164" dataCellStyle="Comma"/>
    <tableColumn id="222" xr3:uid="{91099446-2ED1-AD42-B338-64989653AEF5}" name="ENI2" totalsRowFunction="average" dataDxfId="1103" totalsRowDxfId="163" dataCellStyle="Comma"/>
    <tableColumn id="223" xr3:uid="{94D8AF40-ECA0-354C-B75F-5D3226599EFC}" name="EZJ" totalsRowFunction="sum" dataDxfId="1102" totalsRowDxfId="162" dataCellStyle="Comma">
      <calculatedColumnFormula>HQ4*(_xlfn.XLOOKUP(HP$3,TabCalc[Ticker],TabCalc[M])+HR4)</calculatedColumnFormula>
    </tableColumn>
    <tableColumn id="224" xr3:uid="{BF26A8AA-5B90-794F-BD83-D51B4040DBC5}" name="EZJ1" totalsRowFunction="sum" dataDxfId="1101" totalsRowDxfId="161" dataCellStyle="Comma"/>
    <tableColumn id="225" xr3:uid="{3689C227-DC38-A04E-94B5-D5FC6B66A85B}" name="EZJ2" totalsRowFunction="average" dataDxfId="1100" totalsRowDxfId="160" dataCellStyle="Comma"/>
    <tableColumn id="226" xr3:uid="{FB7C2B18-95F9-9F48-B6F8-7107918C37B0}" name="F" totalsRowFunction="sum" dataDxfId="1099" totalsRowDxfId="159" dataCellStyle="Comma">
      <calculatedColumnFormula>HT4*(_xlfn.XLOOKUP(HS$3,TabCalc[Ticker],TabCalc[M])+HU4)</calculatedColumnFormula>
    </tableColumn>
    <tableColumn id="227" xr3:uid="{59201844-A7EE-0D4E-A913-002521A7DFF7}" name="F1" totalsRowFunction="sum" dataDxfId="1098" totalsRowDxfId="158" dataCellStyle="Comma"/>
    <tableColumn id="228" xr3:uid="{2784B2D6-D849-AD47-9AE6-C37C7F718EDC}" name="F2" totalsRowFunction="average" dataDxfId="1097" totalsRowDxfId="157" dataCellStyle="Comma"/>
    <tableColumn id="229" xr3:uid="{5172CAD0-43DE-4A44-B3CF-A2D7F6ECA044}" name="GLE" totalsRowFunction="sum" dataDxfId="1096" totalsRowDxfId="156" dataCellStyle="Comma">
      <calculatedColumnFormula>HW4*(_xlfn.XLOOKUP(HV$3,TabCalc[Ticker],TabCalc[M])+HX4)</calculatedColumnFormula>
    </tableColumn>
    <tableColumn id="230" xr3:uid="{1A17A66C-4D5C-8947-A874-ED96997253F5}" name="GLE1" totalsRowFunction="sum" dataDxfId="1095" totalsRowDxfId="155" dataCellStyle="Comma"/>
    <tableColumn id="231" xr3:uid="{51390D36-859F-F947-9F17-40DF6678074C}" name="GLE2" totalsRowFunction="average" dataDxfId="1094" totalsRowDxfId="154" dataCellStyle="Comma"/>
    <tableColumn id="232" xr3:uid="{E898C86B-1F4A-6D40-BBD5-FA08BEBDF164}" name="GNRC" totalsRowFunction="sum" dataDxfId="1093" totalsRowDxfId="153" dataCellStyle="Comma">
      <calculatedColumnFormula>HZ4*(_xlfn.XLOOKUP(HY$3,TabCalc[Ticker],TabCalc[M])+IA4)</calculatedColumnFormula>
    </tableColumn>
    <tableColumn id="233" xr3:uid="{740B70BA-648E-4E48-A652-F470085294B4}" name="GNRC1" totalsRowFunction="sum" dataDxfId="1092" totalsRowDxfId="152" dataCellStyle="Comma"/>
    <tableColumn id="234" xr3:uid="{2F969E41-2934-A047-B1B2-9FFA73F86BA4}" name="GNRC2" totalsRowFunction="average" dataDxfId="1091" totalsRowDxfId="151" dataCellStyle="Comma"/>
    <tableColumn id="235" xr3:uid="{68E93E7C-D13A-3E44-9E22-D0A4371CD0F0}" name="GS" totalsRowFunction="sum" dataDxfId="1090" totalsRowDxfId="150" dataCellStyle="Comma">
      <calculatedColumnFormula>IC4*(_xlfn.XLOOKUP(IB$3,TabCalc[Ticker],TabCalc[M])+ID4)</calculatedColumnFormula>
    </tableColumn>
    <tableColumn id="236" xr3:uid="{389DA179-71AB-FE4B-A39A-C93BCB1FB2E4}" name="GS1" totalsRowFunction="sum" dataDxfId="1089" totalsRowDxfId="149" dataCellStyle="Comma"/>
    <tableColumn id="237" xr3:uid="{2E819FD9-9936-F240-8450-6DC6610CEBF5}" name="GS2" totalsRowFunction="average" dataDxfId="1088" totalsRowDxfId="148" dataCellStyle="Comma"/>
    <tableColumn id="238" xr3:uid="{FB45914F-65A5-4241-B148-E2F60812B6C3}" name="LAZR" totalsRowFunction="sum" dataDxfId="1087" totalsRowDxfId="147" dataCellStyle="Comma">
      <calculatedColumnFormula>IF4*(_xlfn.XLOOKUP(IE$3,TabCalc[Ticker],TabCalc[M])+IG4)</calculatedColumnFormula>
    </tableColumn>
    <tableColumn id="239" xr3:uid="{CF8C5BB1-A44F-1047-93BE-D4E505F70014}" name="LAZR1" totalsRowFunction="sum" dataDxfId="1086" totalsRowDxfId="146" dataCellStyle="Comma"/>
    <tableColumn id="240" xr3:uid="{BBB6BF29-FDD1-8B42-AB8F-CC2B044F8E0E}" name="LAZR2" totalsRowFunction="average" dataDxfId="1085" totalsRowDxfId="145" dataCellStyle="Comma"/>
    <tableColumn id="241" xr3:uid="{4626281E-0051-5F41-918A-C974DAD7A8B8}" name="LUV" totalsRowFunction="sum" dataDxfId="1084" totalsRowDxfId="144" dataCellStyle="Comma">
      <calculatedColumnFormula>II4*(_xlfn.XLOOKUP(IH$3,TabCalc[Ticker],TabCalc[M])+IJ4)</calculatedColumnFormula>
    </tableColumn>
    <tableColumn id="242" xr3:uid="{DC6573B8-8548-A54D-B782-F4BA2982C75A}" name="LUV1" totalsRowFunction="sum" dataDxfId="1083" totalsRowDxfId="143" dataCellStyle="Comma"/>
    <tableColumn id="243" xr3:uid="{7D3946E4-49FC-A94A-BA1E-9C8B10F808C3}" name="LUV2" totalsRowFunction="average" dataDxfId="1082" totalsRowDxfId="142" dataCellStyle="Comma"/>
    <tableColumn id="244" xr3:uid="{95FF93E3-248C-7F4E-8C0F-13E06B2E9B5F}" name="MA" totalsRowFunction="sum" dataDxfId="1081" totalsRowDxfId="141" dataCellStyle="Comma">
      <calculatedColumnFormula>IL4*(_xlfn.XLOOKUP(IK$3,TabCalc[Ticker],TabCalc[M])+IM4)</calculatedColumnFormula>
    </tableColumn>
    <tableColumn id="245" xr3:uid="{8D711E27-1BEF-FC4B-A240-9FF85F1F4FFE}" name="MA1" totalsRowFunction="sum" dataDxfId="1080" totalsRowDxfId="140" dataCellStyle="Comma"/>
    <tableColumn id="246" xr3:uid="{C373D45E-C415-5A43-A25D-920AB52AD15D}" name="MA2" totalsRowFunction="average" dataDxfId="1079" totalsRowDxfId="139" dataCellStyle="Comma"/>
    <tableColumn id="247" xr3:uid="{B5DB9542-EF25-ED46-912C-E96C598C5B95}" name="NVAX" totalsRowFunction="sum" dataDxfId="1078" totalsRowDxfId="138" dataCellStyle="Comma">
      <calculatedColumnFormula>IO4*(_xlfn.XLOOKUP(IN$3,TabCalc[Ticker],TabCalc[M])+IP4)</calculatedColumnFormula>
    </tableColumn>
    <tableColumn id="248" xr3:uid="{E9ED7765-27CF-5540-915B-9709575A569F}" name="NVAX1" totalsRowFunction="sum" dataDxfId="1077" totalsRowDxfId="137" dataCellStyle="Comma"/>
    <tableColumn id="249" xr3:uid="{5C6E1216-E6D3-E749-B59D-76C0424F9D79}" name="NVAX2" totalsRowFunction="average" dataDxfId="1076" totalsRowDxfId="136" dataCellStyle="Comma"/>
    <tableColumn id="250" xr3:uid="{703D6D6F-409A-4640-870E-8E56D1AEAA52}" name="NVS" totalsRowFunction="sum" dataDxfId="1075" totalsRowDxfId="135" dataCellStyle="Comma">
      <calculatedColumnFormula>IR4*(_xlfn.XLOOKUP(IQ$3,TabCalc[Ticker],TabCalc[M]))</calculatedColumnFormula>
    </tableColumn>
    <tableColumn id="251" xr3:uid="{3C12C176-2B62-4145-B89E-20D020A45A29}" name="NVS1" totalsRowFunction="sum" dataDxfId="1074" totalsRowDxfId="134" dataCellStyle="Comma"/>
    <tableColumn id="252" xr3:uid="{DA81076B-11C3-DD41-B2AE-FBB09632E161}" name="NVS2" totalsRowFunction="average" dataDxfId="1073" totalsRowDxfId="133" dataCellStyle="Comma"/>
    <tableColumn id="253" xr3:uid="{A4E40067-3EDA-2B47-B781-77DE32A0C3A4}" name="ORA" totalsRowFunction="sum" dataDxfId="1072" totalsRowDxfId="132" dataCellStyle="Comma">
      <calculatedColumnFormula>IU4*(_xlfn.XLOOKUP(IT$3,TabCalc[Ticker],TabCalc[M])+IV4)</calculatedColumnFormula>
    </tableColumn>
    <tableColumn id="254" xr3:uid="{EDE806CC-445C-D949-BA1D-8437B5C6C058}" name="ORA1" totalsRowFunction="sum" dataDxfId="1071" totalsRowDxfId="131" dataCellStyle="Comma"/>
    <tableColumn id="255" xr3:uid="{F483F38C-62A6-2347-925B-49625ADB435F}" name="ORA2" totalsRowFunction="average" dataDxfId="1070" totalsRowDxfId="130" dataCellStyle="Comma"/>
    <tableColumn id="256" xr3:uid="{E840F141-B187-4E46-9FE1-56FE22148CE0}" name="OXY" totalsRowFunction="sum" dataDxfId="1069" totalsRowDxfId="129" dataCellStyle="Comma">
      <calculatedColumnFormula>IX4*(_xlfn.XLOOKUP(IW$3,TabCalc[Ticker],TabCalc[M])+IY4)</calculatedColumnFormula>
    </tableColumn>
    <tableColumn id="257" xr3:uid="{BB4D994A-23E5-F243-9E5A-EE72A43E6583}" name="OXY1" totalsRowFunction="sum" dataDxfId="1068" totalsRowDxfId="128" dataCellStyle="Comma"/>
    <tableColumn id="258" xr3:uid="{6B4719B5-2341-5347-B41B-3E893EFD8F32}" name="OXY2" totalsRowFunction="average" dataDxfId="1067" totalsRowDxfId="127" dataCellStyle="Comma"/>
    <tableColumn id="259" xr3:uid="{B9F8C50C-AC54-B245-901E-AC81835A888D}" name="PFE" totalsRowFunction="sum" dataDxfId="1066" totalsRowDxfId="126" dataCellStyle="Comma">
      <calculatedColumnFormula>JA4*(_xlfn.XLOOKUP(IZ$3,TabCalc[Ticker],TabCalc[M])+JB4)</calculatedColumnFormula>
    </tableColumn>
    <tableColumn id="260" xr3:uid="{200440A7-9597-5541-B06F-5394908ECBD4}" name="PFE1" totalsRowFunction="sum" dataDxfId="1065" totalsRowDxfId="125" dataCellStyle="Comma"/>
    <tableColumn id="261" xr3:uid="{BD830D5D-B303-4E4C-90F5-1BE90210D860}" name="PFE2" totalsRowFunction="average" dataDxfId="1064" totalsRowDxfId="124" dataCellStyle="Comma"/>
    <tableColumn id="262" xr3:uid="{E95C3C1D-D1DA-7341-A6C7-350240ABB556}" name="RIG" totalsRowFunction="sum" dataDxfId="1063" totalsRowDxfId="123" dataCellStyle="Comma">
      <calculatedColumnFormula>JD4*(_xlfn.XLOOKUP(JC$3,TabCalc[Ticker],TabCalc[M])+JE4)</calculatedColumnFormula>
    </tableColumn>
    <tableColumn id="263" xr3:uid="{903313B4-7B9D-154A-AE3D-77FD3F20BF47}" name="RIG1" totalsRowFunction="sum" dataDxfId="1062" totalsRowDxfId="122" dataCellStyle="Comma"/>
    <tableColumn id="264" xr3:uid="{E9244164-4FD9-7746-BD3E-4849A574AB73}" name="RIG2" totalsRowFunction="sum" dataDxfId="1061" totalsRowDxfId="121" dataCellStyle="Comma"/>
    <tableColumn id="265" xr3:uid="{9B1C2547-CF68-CF4F-93A0-EA05F87A3A64}" name="RRC" totalsRowFunction="sum" dataDxfId="1060" totalsRowDxfId="120" dataCellStyle="Comma">
      <calculatedColumnFormula>JG4*(_xlfn.XLOOKUP(JF$3,TabCalc[Ticker],TabCalc[M])+JH4)</calculatedColumnFormula>
    </tableColumn>
    <tableColumn id="266" xr3:uid="{CD08F2A2-DF91-AA4D-959F-CFB14552D844}" name="RRC1" totalsRowFunction="sum" dataDxfId="1059" totalsRowDxfId="119" dataCellStyle="Comma"/>
    <tableColumn id="267" xr3:uid="{CDC2D8B0-B269-7744-BD53-210E13C0BD55}" name="RRC2" totalsRowFunction="average" dataDxfId="1058" totalsRowDxfId="118" dataCellStyle="Comma"/>
    <tableColumn id="268" xr3:uid="{845D5BAB-F92C-FF45-8A4C-8139058F1117}" name="XYZ" totalsRowFunction="sum" dataDxfId="1057" totalsRowDxfId="117" dataCellStyle="Comma">
      <calculatedColumnFormula>JJ4*(_xlfn.XLOOKUP(JI$3,TabCalc[Ticker],TabCalc[M])+JK4)</calculatedColumnFormula>
    </tableColumn>
    <tableColumn id="269" xr3:uid="{A539E0AA-586B-1245-BC7F-E4BA7C46540E}" name="XYZ1" totalsRowFunction="sum" dataDxfId="1056" totalsRowDxfId="116" dataCellStyle="Comma"/>
    <tableColumn id="270" xr3:uid="{6E0B2157-4642-5045-B4BB-094AE6BFA747}" name="XYZ2" totalsRowFunction="average" dataDxfId="1055" totalsRowDxfId="115" dataCellStyle="Comma"/>
    <tableColumn id="271" xr3:uid="{9D7AA151-B32B-AF46-8E71-B15590BD1888}" name="THC" totalsRowFunction="sum" dataDxfId="1054" totalsRowDxfId="114" dataCellStyle="Comma">
      <calculatedColumnFormula>JM4*(_xlfn.XLOOKUP(JL$3,TabCalc[Ticker],TabCalc[M])+JN4)</calculatedColumnFormula>
    </tableColumn>
    <tableColumn id="272" xr3:uid="{1578BB9F-0EBD-3D44-A97E-58279FD356E8}" name="THC1" totalsRowFunction="sum" dataDxfId="1053" totalsRowDxfId="113" dataCellStyle="Comma"/>
    <tableColumn id="273" xr3:uid="{E1B590BB-BE88-E842-931D-959A64574D89}" name="THC2" totalsRowFunction="average" dataDxfId="1052" totalsRowDxfId="112" dataCellStyle="Comma"/>
    <tableColumn id="274" xr3:uid="{2C6A0043-B3F5-0E42-9DCF-DB694535043F}" name="X" totalsRowFunction="sum" dataDxfId="1051" totalsRowDxfId="111" dataCellStyle="Comma">
      <calculatedColumnFormula>JP4*(_xlfn.XLOOKUP(JO$3,TabCalc[Ticker],TabCalc[M])+JQ4)</calculatedColumnFormula>
    </tableColumn>
    <tableColumn id="275" xr3:uid="{618B8C28-7E04-1844-8C5A-7C077244BE3C}" name="X1" totalsRowFunction="sum" dataDxfId="1050" totalsRowDxfId="110" dataCellStyle="Comma"/>
    <tableColumn id="276" xr3:uid="{4BE104A1-9211-4F4C-94BA-24883EE05EB2}" name="X2" totalsRowFunction="average" dataDxfId="1049" totalsRowDxfId="109" dataCellStyle="Comma"/>
    <tableColumn id="277" xr3:uid="{9CF61E2D-7D69-3A47-BA46-58E661CC2A03}" name="LOCK" totalsRowFunction="sum" dataDxfId="1048" totalsRowDxfId="108" dataCellStyle="Comma">
      <calculatedColumnFormula>JS4*(_xlfn.XLOOKUP(JR$3,TabCalc[Ticker],TabCalc[M])+JT4)</calculatedColumnFormula>
    </tableColumn>
    <tableColumn id="278" xr3:uid="{3CEABE9C-FBED-B14E-B347-305053C76B00}" name="LOCK1" totalsRowFunction="sum" dataDxfId="1047" totalsRowDxfId="107" dataCellStyle="Comma"/>
    <tableColumn id="279" xr3:uid="{0C18DBDC-FECC-3341-B235-DF1E9063D6FB}" name="LOCK2" totalsRowFunction="average" dataDxfId="1046" totalsRowDxfId="106" dataCellStyle="Comma"/>
    <tableColumn id="280" xr3:uid="{0957126C-3AC2-FC46-9CCE-9CDB97F3259D}" name="JBASML" totalsRowFunction="sum" dataDxfId="1045" totalsRowDxfId="105" dataCellStyle="Comma">
      <calculatedColumnFormula>JV4*(_xlfn.XLOOKUP(JU$3,TabCalc[Ticker],TabCalc[M])+JW4)</calculatedColumnFormula>
    </tableColumn>
    <tableColumn id="281" xr3:uid="{4E796D8B-0B1A-A24E-846F-D5CA1530C11A}" name="JBASML1" totalsRowFunction="sum" dataDxfId="1044" totalsRowDxfId="104" dataCellStyle="Comma"/>
    <tableColumn id="282" xr3:uid="{05B1CEE8-DE7A-8648-AA60-B3D6FFC1C0B4}" name="JBASML2" totalsRowFunction="average" dataDxfId="1043" totalsRowDxfId="103" dataCellStyle="Comma"/>
    <tableColumn id="283" xr3:uid="{D1D8A769-1420-5846-BE54-E349675C5315}" name="JBEOAN" totalsRowFunction="sum" dataDxfId="1042" totalsRowDxfId="102" dataCellStyle="Comma">
      <calculatedColumnFormula>JY4*(_xlfn.XLOOKUP(JX$3,TabCalc[Ticker],TabCalc[M])+JZ4)</calculatedColumnFormula>
    </tableColumn>
    <tableColumn id="284" xr3:uid="{AFC92BED-9DE5-594B-8735-E720CDAEFC29}" name="JBEOAN1" totalsRowFunction="sum" dataDxfId="1041" totalsRowDxfId="101" dataCellStyle="Comma"/>
    <tableColumn id="285" xr3:uid="{5F4263ED-C98D-B847-B128-EAB2E7CD8E43}" name="JBEOAN2" totalsRowFunction="average" dataDxfId="1040" totalsRowDxfId="1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Q1" dT="2025-08-28T10:23:30.50" personId="{8A1DC52A-7F3B-174C-A58C-47297FBFA3B2}" id="{B5F78448-1A24-3445-BC51-3FDCDECB54F2}">
    <text xml:space="preserve">R stays for Remaining
Don't buy if M&gt;A, or M&gt; max(R)
</text>
  </threadedComment>
  <threadedComment ref="AU1" dT="2025-08-28T10:23:30.50" personId="{8A1DC52A-7F3B-174C-A58C-47297FBFA3B2}" id="{05B94FF1-C652-FB42-AE21-EDA09AAC7DAA}">
    <text xml:space="preserve">R stays for Remaining
Don't buy if M&gt;A, or M&gt; max(R)
</text>
  </threadedComment>
  <threadedComment ref="AY1" dT="2025-08-14T11:35:00.12" personId="{8A1DC52A-7F3B-174C-A58C-47297FBFA3B2}" id="{707BC2C3-B6B2-514D-9C25-0AE5D8080040}">
    <text>Last 20 trading days</text>
  </threadedComment>
  <threadedComment ref="AE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I2" dT="2025-11-04T19:07:46.19" personId="{8A1DC52A-7F3B-174C-A58C-47297FBFA3B2}" id="{0EC12689-F29E-2641-9932-0F643920699C}">
    <text>If =0: a buy price from Consolid exists &gt;M!</text>
  </threadedComment>
  <threadedComment ref="AK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L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O2" dT="2025-07-28T10:00:57.64" personId="{8A1DC52A-7F3B-174C-A58C-47297FBFA3B2}" id="{CD3FDA64-583E-104E-856B-5C770D2E46B6}">
    <text>SellMore: M vs. A</text>
  </threadedComment>
  <threadedComment ref="AR2" dT="2025-09-09T14:34:22.22" personId="{8A1DC52A-7F3B-174C-A58C-47297FBFA3B2}" id="{882D910F-B27F-FF45-9B9E-C68D9FF6475E}">
    <text xml:space="preserve">Annualized GL for the last purchase:
(M-PurchasePrice)/days*360
</text>
  </threadedComment>
  <threadedComment ref="AS2" dT="2025-09-09T14:32:45.09" personId="{8A1DC52A-7F3B-174C-A58C-47297FBFA3B2}" id="{59252814-2AE6-114E-9C13-D7D5B8500FAC}">
    <text xml:space="preserve">Markov chain probability to go Up (history of 3-cell chains DZU) </text>
  </threadedComment>
  <threadedComment ref="AY2" dT="2025-06-30T16:22:35.12" personId="{8A1DC52A-7F3B-174C-A58C-47297FBFA3B2}" id="{A37C6F9D-0452-E74E-B605-B00643A0B7FA}">
    <text>Traps are made by the last trade only.</text>
  </threadedComment>
  <threadedComment ref="BP2" dT="2025-09-29T11:45:54.58" personId="{8A1DC52A-7F3B-174C-A58C-47297FBFA3B2}" id="{985B3F7A-7673-B645-AC30-E54D2A88D4F6}">
    <text>Number of shares bought at  highest price that is smaller  than or equal to lookup value (negative market price -M)</text>
  </threadedComment>
  <threadedComment ref="BF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5.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6.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9"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3962323.56</v>
      </c>
      <c r="I3" t="str" cm="1">
        <f t="array" aca="1" ref="I3:J96" ca="1">_xlfn._xlws.SORT(CHOOSE({1,2},D3:D96,Tab1ChangePercent[Change%19]),2,-1)</f>
        <v>LAZR</v>
      </c>
      <c r="J3" s="561">
        <f ca="1"/>
        <v>8.2608999999999988E-2</v>
      </c>
      <c r="K3" s="153" t="str" cm="1">
        <f t="array" aca="1" ref="K3:L96" ca="1">_xlfn._xlws.SORT(CHOOSE({1,2},D3:D96,Tab1ChangePercent[Change%20]),2,-1)</f>
        <v>LAZR</v>
      </c>
      <c r="L3" s="561">
        <f ca="1"/>
        <v>8.2608999999999988E-2</v>
      </c>
      <c r="M3" s="1" t="str" cm="1">
        <f t="array" aca="1" ref="M3:N96" ca="1">_xlfn._xlws.SORT(CHOOSE({1,2},D3:D96,TabCalc[GLMore@A]),2,-1)</f>
        <v>MSFT</v>
      </c>
      <c r="N3" s="560">
        <f ca="1"/>
        <v>1603760.4</v>
      </c>
      <c r="O3" t="str" cm="1">
        <f t="array" aca="1" ref="O3:P96" ca="1">_xlfn._xlws.SORT(CHOOSE({1,2},D3:D96,TabTRADER[Buy_Back]),2,-1)</f>
        <v>SAFIAG</v>
      </c>
      <c r="P3" s="560">
        <f ca="1"/>
        <v>64112.871999999967</v>
      </c>
      <c r="Q3" t="str" cm="1">
        <f t="array" aca="1" ref="Q3:R96" ca="1">_xlfn._xlws.SORT(CHOOSE({1,2},D3:D96,Tab2SumChangePercent[AVGChan20]),2,-1)</f>
        <v>UNIT</v>
      </c>
      <c r="R3" s="650" t="e">
        <f ca="1"/>
        <v>#REF!</v>
      </c>
      <c r="S3" t="str" cm="1">
        <f t="array" aca="1" ref="S3:T96" ca="1">_xlfn._xlws.SORT(CHOOSE({1,2},D3:D96,Tab2Saldo[Sald20]),2,-1)</f>
        <v>BLNK</v>
      </c>
      <c r="T3" s="87">
        <f ca="1"/>
        <v>26388</v>
      </c>
      <c r="U3" t="str" cm="1">
        <f t="array" aca="1" ref="U3:V96" ca="1">_xlfn._xlws.SORT(CHOOSE({1,2},D3:D96,Tab2Saldo5Days[Saldo_5Day20]),2,-1)</f>
        <v>MSFT</v>
      </c>
      <c r="V3" s="87">
        <f ca="1"/>
        <v>83887.999999999069</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372701.39999999997</v>
      </c>
      <c r="AI3" t="str" cm="1">
        <f t="array" aca="1" ref="AI3:AJ96" ca="1">_xlfn._xlws.SORT(CHOOSE({1,2},D3:D96,Tab2ReBuy[RevBuy20]),2,-1)</f>
        <v>MRNA</v>
      </c>
      <c r="AJ3" s="87">
        <f ca="1"/>
        <v>95572.5</v>
      </c>
      <c r="AK3" s="90" t="str" cm="1">
        <f t="array" aca="1" ref="AK3:AL96" ca="1">_xlfn._xlws.SORT(CHOOSE({1,2},D3:D96,Tab2SumChangePercent[AVGChan20]),2,-1)</f>
        <v>UNIT</v>
      </c>
      <c r="AL3" s="310" t="e">
        <f ca="1"/>
        <v>#REF!</v>
      </c>
      <c r="AM3" t="str" cm="1">
        <f t="array" aca="1" ref="AM3:AN96" ca="1">_xlfn._xlws.SORT(CHOOSE({1,2},TabTRADER[ClickTick],TabTRADER[SellMore(/A)]),2,-1)</f>
        <v>EOAN</v>
      </c>
      <c r="AN3" s="310" t="str">
        <f ca="1"/>
        <v/>
      </c>
      <c r="AO3" t="str" cm="1">
        <f t="array" aca="1" ref="AO3:AP96" ca="1">_xlfn._xlws.SORT(CHOOSE({1,2},TabTRADER[ClickTick],TabTRADER[BuyMore]),2,)</f>
        <v>LUMN</v>
      </c>
      <c r="AP3" s="310">
        <f ca="1"/>
        <v>-0.5192142107773009</v>
      </c>
      <c r="AQ3" s="87" t="str" cm="1">
        <f t="array" aca="1" ref="AQ3:AR96" ca="1">_xlfn._xlws.SORT(CHOOSE({1,2},D3:D96,TabCalc[Ann%RevLB]),2,-1)</f>
        <v>VONN</v>
      </c>
      <c r="AR3" s="90" t="str">
        <f ca="1"/>
        <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IAG</v>
      </c>
      <c r="F4" s="559">
        <f ca="1"/>
        <v>3.8509130711539581</v>
      </c>
      <c r="G4" s="153" t="str">
        <f ca="1"/>
        <v>NFLX</v>
      </c>
      <c r="H4" s="560">
        <f ca="1"/>
        <v>1462678.99</v>
      </c>
      <c r="I4" t="str">
        <f ca="1"/>
        <v>BLNK</v>
      </c>
      <c r="J4" s="561">
        <f ca="1"/>
        <v>5.2914000000000003E-2</v>
      </c>
      <c r="K4" s="153" t="str">
        <f ca="1"/>
        <v>BLNK</v>
      </c>
      <c r="L4" s="561">
        <f ca="1"/>
        <v>5.2914000000000003E-2</v>
      </c>
      <c r="M4" s="1" t="str">
        <f ca="1"/>
        <v>ASML</v>
      </c>
      <c r="N4" s="560">
        <f ca="1"/>
        <v>655525.99999999977</v>
      </c>
      <c r="O4" t="str">
        <f ca="1"/>
        <v>GLE</v>
      </c>
      <c r="P4" s="560">
        <f ca="1"/>
        <v>46957.591999999997</v>
      </c>
      <c r="Q4" t="str">
        <f ca="1"/>
        <v>POET</v>
      </c>
      <c r="R4" s="650">
        <f ca="1"/>
        <v>1.974469642857142E-2</v>
      </c>
      <c r="S4" t="str">
        <f ca="1"/>
        <v>AMZN</v>
      </c>
      <c r="T4" s="87">
        <f ca="1"/>
        <v>18720</v>
      </c>
      <c r="U4" t="str">
        <f ca="1"/>
        <v>BLNK</v>
      </c>
      <c r="V4" s="87">
        <f ca="1"/>
        <v>38388</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59079.999999999985</v>
      </c>
      <c r="AI4" t="str">
        <f ca="1"/>
        <v>EPIX</v>
      </c>
      <c r="AJ4" s="87">
        <f ca="1"/>
        <v>55687.999999999993</v>
      </c>
      <c r="AK4" s="90" t="str">
        <f ca="1"/>
        <v>POET</v>
      </c>
      <c r="AL4" s="310">
        <f ca="1"/>
        <v>1.974469642857142E-2</v>
      </c>
      <c r="AM4" t="str">
        <f ca="1"/>
        <v>LNSR</v>
      </c>
      <c r="AN4" s="310" t="str">
        <f ca="1"/>
        <v/>
      </c>
      <c r="AO4" t="str">
        <f ca="1"/>
        <v>LOCK</v>
      </c>
      <c r="AP4" s="310">
        <f ca="1"/>
        <v>-0.47773269117357969</v>
      </c>
      <c r="AQ4" s="87" t="str">
        <f ca="1"/>
        <v>RIGL</v>
      </c>
      <c r="AR4" s="90">
        <f ca="1"/>
        <v>29.565831274267577</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SAFIAG</v>
      </c>
      <c r="F5" s="559">
        <f ca="1"/>
        <v>3.8509130711539581</v>
      </c>
      <c r="G5" s="153" t="str">
        <f ca="1"/>
        <v>NEM</v>
      </c>
      <c r="H5" s="560">
        <f ca="1"/>
        <v>1185414.9300000002</v>
      </c>
      <c r="I5" t="str">
        <f ca="1"/>
        <v>UNIT</v>
      </c>
      <c r="J5" s="561">
        <f ca="1"/>
        <v>4.8722000000000001E-2</v>
      </c>
      <c r="K5" s="153" t="str">
        <f ca="1"/>
        <v>UNIT</v>
      </c>
      <c r="L5" s="561">
        <f ca="1"/>
        <v>4.8722000000000001E-2</v>
      </c>
      <c r="M5" s="1" t="str">
        <f ca="1"/>
        <v>AAPL</v>
      </c>
      <c r="N5" s="560">
        <f ca="1"/>
        <v>531793.89000000025</v>
      </c>
      <c r="O5" t="str">
        <f ca="1"/>
        <v>SAFGM</v>
      </c>
      <c r="P5" s="560">
        <f ca="1"/>
        <v>43938.66167999999</v>
      </c>
      <c r="Q5" t="str">
        <f ca="1"/>
        <v>PAAS</v>
      </c>
      <c r="R5" s="650">
        <f ca="1"/>
        <v>1.9453839285714286E-2</v>
      </c>
      <c r="S5" t="str">
        <f ca="1"/>
        <v>NFLX</v>
      </c>
      <c r="T5" s="87">
        <f ca="1"/>
        <v>18570</v>
      </c>
      <c r="U5" t="str">
        <f ca="1"/>
        <v>POET</v>
      </c>
      <c r="V5" s="87">
        <f ca="1"/>
        <v>33295.500000000029</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29411.999999999989</v>
      </c>
      <c r="AI5" t="str">
        <f ca="1"/>
        <v>NVAX</v>
      </c>
      <c r="AJ5" s="87">
        <f ca="1"/>
        <v>29739.999999999996</v>
      </c>
      <c r="AK5" s="90" t="str">
        <f ca="1"/>
        <v>PAAS</v>
      </c>
      <c r="AL5" s="310">
        <f ca="1"/>
        <v>1.9453839285714286E-2</v>
      </c>
      <c r="AM5" t="str">
        <f ca="1"/>
        <v>NFLX</v>
      </c>
      <c r="AN5" s="310" t="str">
        <f ca="1"/>
        <v/>
      </c>
      <c r="AO5" t="str">
        <f ca="1"/>
        <v>X</v>
      </c>
      <c r="AP5" s="310">
        <f ca="1"/>
        <v>-0.43809952589350848</v>
      </c>
      <c r="AQ5" s="87" t="str">
        <f ca="1"/>
        <v>NEM</v>
      </c>
      <c r="AR5" s="90">
        <f ca="1"/>
        <v>6.800202839756591</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XYZ</v>
      </c>
      <c r="F6" s="559">
        <f ca="1"/>
        <v>3.4106299247859022</v>
      </c>
      <c r="G6" s="153" t="str">
        <f ca="1"/>
        <v>EOAN</v>
      </c>
      <c r="H6" s="560">
        <f ca="1"/>
        <v>1167583.5</v>
      </c>
      <c r="I6" t="str">
        <f ca="1"/>
        <v>LUV</v>
      </c>
      <c r="J6" s="561">
        <f ca="1"/>
        <v>2.7134000000000002E-2</v>
      </c>
      <c r="K6" s="153" t="str">
        <f ca="1"/>
        <v>LUV</v>
      </c>
      <c r="L6" s="561">
        <f ca="1"/>
        <v>2.7134000000000002E-2</v>
      </c>
      <c r="M6" s="1" t="str">
        <f ca="1"/>
        <v>AMZN</v>
      </c>
      <c r="N6" s="560">
        <f ca="1"/>
        <v>496817.21999999991</v>
      </c>
      <c r="O6" t="str">
        <f ca="1"/>
        <v>MVERWE</v>
      </c>
      <c r="P6" s="560">
        <f ca="1"/>
        <v>38091.154829999985</v>
      </c>
      <c r="Q6" t="str">
        <f ca="1"/>
        <v>PW</v>
      </c>
      <c r="R6" s="650">
        <f ca="1"/>
        <v>1.5923119047619047E-2</v>
      </c>
      <c r="S6" t="str">
        <f ca="1"/>
        <v>POET</v>
      </c>
      <c r="T6" s="87">
        <f ca="1"/>
        <v>11695.500000000029</v>
      </c>
      <c r="U6" t="str">
        <f ca="1"/>
        <v>MRNA</v>
      </c>
      <c r="V6" s="87">
        <f ca="1"/>
        <v>23700</v>
      </c>
      <c r="W6" t="str">
        <f ca="1"/>
        <v>WBA</v>
      </c>
      <c r="X6">
        <f ca="1"/>
        <v>1</v>
      </c>
      <c r="Y6" t="str">
        <f ca="1"/>
        <v>XOM</v>
      </c>
      <c r="Z6">
        <f ca="1"/>
        <v>1</v>
      </c>
      <c r="AA6" t="str">
        <f ca="1"/>
        <v>EPIX</v>
      </c>
      <c r="AB6">
        <f ca="1"/>
        <v>82</v>
      </c>
      <c r="AC6" t="str">
        <f ca="1"/>
        <v>MVEEPIX</v>
      </c>
      <c r="AD6" t="e">
        <f ca="1"/>
        <v>#DIV/0!</v>
      </c>
      <c r="AE6" t="str">
        <f ca="1"/>
        <v>C</v>
      </c>
      <c r="AF6" s="87">
        <f ca="1"/>
        <v>0</v>
      </c>
      <c r="AG6" t="str">
        <f ca="1"/>
        <v>MVEENI</v>
      </c>
      <c r="AH6" s="87">
        <f ca="1"/>
        <v>23775.999999999996</v>
      </c>
      <c r="AI6" t="str">
        <f ca="1"/>
        <v>DXC</v>
      </c>
      <c r="AJ6" s="87">
        <f ca="1"/>
        <v>28580</v>
      </c>
      <c r="AK6" s="90" t="str">
        <f ca="1"/>
        <v>PW</v>
      </c>
      <c r="AL6" s="310">
        <f ca="1"/>
        <v>1.5923119047619047E-2</v>
      </c>
      <c r="AM6" t="str">
        <f ca="1"/>
        <v>MVEGLE</v>
      </c>
      <c r="AN6" s="310" t="str">
        <f ca="1"/>
        <v/>
      </c>
      <c r="AO6" t="str">
        <f ca="1"/>
        <v>GLE</v>
      </c>
      <c r="AP6" s="310">
        <f ca="1"/>
        <v>-0.43341991215226938</v>
      </c>
      <c r="AQ6" s="87" t="str">
        <f ca="1"/>
        <v>DVA</v>
      </c>
      <c r="AR6" s="90">
        <f ca="1"/>
        <v>4.6966632962588433</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LNSR</v>
      </c>
      <c r="F7" s="559">
        <f ca="1"/>
        <v>2.7624119502200064</v>
      </c>
      <c r="G7" s="153" t="str">
        <f ca="1"/>
        <v>AAPL</v>
      </c>
      <c r="H7" s="560">
        <f ca="1"/>
        <v>1133084.3750000002</v>
      </c>
      <c r="I7" t="str">
        <f ca="1"/>
        <v>GM</v>
      </c>
      <c r="J7" s="561">
        <f ca="1"/>
        <v>2.6438000000000003E-2</v>
      </c>
      <c r="K7" s="153" t="str">
        <f ca="1"/>
        <v>GM</v>
      </c>
      <c r="L7" s="561">
        <f ca="1"/>
        <v>2.6438000000000003E-2</v>
      </c>
      <c r="M7" s="1" t="str">
        <f ca="1"/>
        <v>NEM</v>
      </c>
      <c r="N7" s="560">
        <f ca="1"/>
        <v>419247.91</v>
      </c>
      <c r="O7" t="str">
        <f ca="1"/>
        <v>RWE</v>
      </c>
      <c r="P7" s="560">
        <f ca="1"/>
        <v>30480.543999999991</v>
      </c>
      <c r="Q7" t="str">
        <f ca="1"/>
        <v>UN0</v>
      </c>
      <c r="R7" s="650">
        <f ca="1"/>
        <v>1.1356714285714284E-2</v>
      </c>
      <c r="S7" t="str">
        <f ca="1"/>
        <v>NOTE</v>
      </c>
      <c r="T7" s="87">
        <f ca="1"/>
        <v>10133.459999999992</v>
      </c>
      <c r="U7" t="str">
        <f ca="1"/>
        <v>SHECY</v>
      </c>
      <c r="V7" s="87">
        <f ca="1"/>
        <v>21175.16320000001</v>
      </c>
      <c r="W7" t="str">
        <f ca="1"/>
        <v>XOM</v>
      </c>
      <c r="X7">
        <f ca="1"/>
        <v>1</v>
      </c>
      <c r="Y7" t="str">
        <f ca="1"/>
        <v>MVEEPIX</v>
      </c>
      <c r="Z7">
        <f ca="1"/>
        <v>1</v>
      </c>
      <c r="AA7" t="str">
        <f ca="1"/>
        <v>SAFGM</v>
      </c>
      <c r="AB7">
        <f ca="1"/>
        <v>82</v>
      </c>
      <c r="AC7" t="str">
        <f ca="1"/>
        <v>X</v>
      </c>
      <c r="AD7" t="e">
        <f ca="1"/>
        <v>#DIV/0!</v>
      </c>
      <c r="AE7" t="str">
        <f ca="1"/>
        <v>CSCO</v>
      </c>
      <c r="AF7" s="87">
        <f ca="1"/>
        <v>0</v>
      </c>
      <c r="AG7" t="str">
        <f ca="1"/>
        <v>IAG</v>
      </c>
      <c r="AH7" s="87">
        <f ca="1"/>
        <v>23437.599999999995</v>
      </c>
      <c r="AI7" t="str">
        <f ca="1"/>
        <v>XPER</v>
      </c>
      <c r="AJ7" s="87">
        <f ca="1"/>
        <v>28450.800000000007</v>
      </c>
      <c r="AK7" s="90" t="str">
        <f ca="1"/>
        <v>UN0</v>
      </c>
      <c r="AL7" s="310">
        <f ca="1"/>
        <v>1.1356714285714284E-2</v>
      </c>
      <c r="AM7" t="str">
        <f ca="1"/>
        <v>SAFGM</v>
      </c>
      <c r="AN7" s="310" t="str">
        <f ca="1"/>
        <v/>
      </c>
      <c r="AO7" t="str">
        <f ca="1"/>
        <v>BLDP</v>
      </c>
      <c r="AP7" s="310">
        <f ca="1"/>
        <v>-0.3873919655667144</v>
      </c>
      <c r="AQ7" s="87" t="str">
        <f ca="1"/>
        <v>KR</v>
      </c>
      <c r="AR7" s="90">
        <f ca="1"/>
        <v>2.2892133772962855</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EPIX</v>
      </c>
      <c r="F8" s="559">
        <f ca="1"/>
        <v>1.8522760022071003</v>
      </c>
      <c r="G8" s="153" t="str">
        <f ca="1"/>
        <v>IAG</v>
      </c>
      <c r="H8" s="560">
        <f ca="1"/>
        <v>1132300.6671000002</v>
      </c>
      <c r="I8" t="str">
        <f ca="1"/>
        <v>SAFGM</v>
      </c>
      <c r="J8" s="561">
        <f ca="1"/>
        <v>2.6438000000000003E-2</v>
      </c>
      <c r="K8" s="153" t="str">
        <f ca="1"/>
        <v>SAFGM</v>
      </c>
      <c r="L8" s="561">
        <f ca="1"/>
        <v>2.6438000000000003E-2</v>
      </c>
      <c r="M8" s="1" t="str">
        <f ca="1"/>
        <v>LOCK</v>
      </c>
      <c r="N8" s="560">
        <f ca="1"/>
        <v>372701.39999999997</v>
      </c>
      <c r="O8" t="str">
        <f ca="1"/>
        <v>X</v>
      </c>
      <c r="P8" s="560">
        <f ca="1"/>
        <v>29750.846160000008</v>
      </c>
      <c r="Q8" t="str">
        <f ca="1"/>
        <v>LUMN</v>
      </c>
      <c r="R8" s="650">
        <f ca="1"/>
        <v>7.943690476190474E-3</v>
      </c>
      <c r="S8" t="str">
        <f ca="1"/>
        <v>SHECY</v>
      </c>
      <c r="T8" s="87">
        <f ca="1"/>
        <v>8875</v>
      </c>
      <c r="U8" t="str">
        <f ca="1"/>
        <v>NOTE</v>
      </c>
      <c r="V8" s="87">
        <f ca="1"/>
        <v>14133.50999999998</v>
      </c>
      <c r="W8" t="str">
        <f ca="1"/>
        <v>MVEEPIX</v>
      </c>
      <c r="X8">
        <f ca="1"/>
        <v>1</v>
      </c>
      <c r="Y8" t="str">
        <f ca="1"/>
        <v>X</v>
      </c>
      <c r="Z8">
        <f ca="1"/>
        <v>1</v>
      </c>
      <c r="AA8" t="str">
        <f ca="1"/>
        <v>MVEENI</v>
      </c>
      <c r="AB8">
        <f ca="1"/>
        <v>72</v>
      </c>
      <c r="AC8" t="str">
        <f ca="1"/>
        <v>MVEENI</v>
      </c>
      <c r="AD8">
        <f ca="1"/>
        <v>89</v>
      </c>
      <c r="AE8" t="str">
        <f ca="1"/>
        <v>CVS</v>
      </c>
      <c r="AF8" s="87">
        <f ca="1"/>
        <v>0</v>
      </c>
      <c r="AG8" t="str">
        <f ca="1"/>
        <v>BLNK</v>
      </c>
      <c r="AH8" s="87">
        <f ca="1"/>
        <v>23116.000000000004</v>
      </c>
      <c r="AI8" t="str">
        <f ca="1"/>
        <v>MVESAP</v>
      </c>
      <c r="AJ8" s="87">
        <f ca="1"/>
        <v>25915.000000000007</v>
      </c>
      <c r="AK8" s="90" t="str">
        <f ca="1"/>
        <v>LUMN</v>
      </c>
      <c r="AL8" s="310">
        <f ca="1"/>
        <v>7.943690476190474E-3</v>
      </c>
      <c r="AM8" t="str">
        <f ca="1"/>
        <v>SAFIAG</v>
      </c>
      <c r="AN8" s="310" t="str">
        <f ca="1"/>
        <v/>
      </c>
      <c r="AO8" t="str">
        <f ca="1"/>
        <v>GM</v>
      </c>
      <c r="AP8" s="310">
        <f ca="1"/>
        <v>-0.34202824794791953</v>
      </c>
      <c r="AQ8" s="87" t="str">
        <f ca="1"/>
        <v>SAFASML</v>
      </c>
      <c r="AR8" s="90">
        <f ca="1"/>
        <v>1.7932602321826103</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MVEEPIX</v>
      </c>
      <c r="F9" s="559">
        <f ca="1"/>
        <v>1.8522760022071003</v>
      </c>
      <c r="G9" s="153" t="str">
        <f ca="1"/>
        <v>AMZN</v>
      </c>
      <c r="H9" s="560">
        <f ca="1"/>
        <v>972355.78</v>
      </c>
      <c r="I9" t="str">
        <f ca="1"/>
        <v>PAAS</v>
      </c>
      <c r="J9" s="561">
        <f ca="1"/>
        <v>2.6305000000000002E-2</v>
      </c>
      <c r="K9" s="153" t="str">
        <f ca="1"/>
        <v>PAAS</v>
      </c>
      <c r="L9" s="561">
        <f ca="1"/>
        <v>2.6305000000000002E-2</v>
      </c>
      <c r="M9" s="1" t="str">
        <f ca="1"/>
        <v>TSM</v>
      </c>
      <c r="N9" s="560">
        <f ca="1"/>
        <v>368537.3193750002</v>
      </c>
      <c r="O9" t="str">
        <f ca="1"/>
        <v>GM</v>
      </c>
      <c r="P9" s="560">
        <f ca="1"/>
        <v>22737.45850199999</v>
      </c>
      <c r="Q9" t="str">
        <f ca="1"/>
        <v>SAFMRNA</v>
      </c>
      <c r="R9" s="650">
        <f ca="1"/>
        <v>7.943690476190474E-3</v>
      </c>
      <c r="S9" t="str">
        <f ca="1"/>
        <v>MRNA</v>
      </c>
      <c r="T9" s="87">
        <f ca="1"/>
        <v>7860</v>
      </c>
      <c r="U9" t="str">
        <f ca="1"/>
        <v>SAFMRNA</v>
      </c>
      <c r="V9" s="87">
        <f ca="1"/>
        <v>9875</v>
      </c>
      <c r="W9" t="str">
        <f ca="1"/>
        <v>SAFGM</v>
      </c>
      <c r="X9">
        <f ca="1"/>
        <v>1</v>
      </c>
      <c r="Y9" t="str">
        <f ca="1"/>
        <v>IAG</v>
      </c>
      <c r="Z9">
        <f ca="1"/>
        <v>2</v>
      </c>
      <c r="AA9" t="str">
        <f ca="1"/>
        <v>ENI</v>
      </c>
      <c r="AB9">
        <f ca="1"/>
        <v>72</v>
      </c>
      <c r="AC9" t="str">
        <f ca="1"/>
        <v>ENI</v>
      </c>
      <c r="AD9">
        <f ca="1"/>
        <v>89</v>
      </c>
      <c r="AE9" t="str">
        <f ca="1"/>
        <v>EOAN</v>
      </c>
      <c r="AF9" s="87">
        <f ca="1"/>
        <v>0</v>
      </c>
      <c r="AG9" t="str">
        <f ca="1"/>
        <v>SAFAAPL</v>
      </c>
      <c r="AH9" s="87">
        <f ca="1"/>
        <v>20067.13</v>
      </c>
      <c r="AI9" t="str">
        <f ca="1"/>
        <v>SAFMRNA</v>
      </c>
      <c r="AJ9" s="87">
        <f ca="1"/>
        <v>19914.999999999996</v>
      </c>
      <c r="AK9" s="90" t="str">
        <f ca="1"/>
        <v>SAFMRNA</v>
      </c>
      <c r="AL9" s="310">
        <f ca="1"/>
        <v>7.943690476190474E-3</v>
      </c>
      <c r="AM9" t="str">
        <f ca="1"/>
        <v>F</v>
      </c>
      <c r="AN9" s="310" t="str">
        <f ca="1"/>
        <v/>
      </c>
      <c r="AO9" t="str">
        <f ca="1"/>
        <v>RWE</v>
      </c>
      <c r="AP9" s="310">
        <f ca="1"/>
        <v>-0.34144875320438117</v>
      </c>
      <c r="AQ9" s="87" t="str">
        <f ca="1"/>
        <v>BLNK</v>
      </c>
      <c r="AR9" s="90">
        <f ca="1"/>
        <v>1.5341572768568228</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NOTE</v>
      </c>
      <c r="F10" s="559">
        <f ca="1"/>
        <v>1.7209378846883396</v>
      </c>
      <c r="G10" s="153" t="str">
        <f ca="1"/>
        <v>TSM</v>
      </c>
      <c r="H10" s="560">
        <f ca="1"/>
        <v>903428.92200000002</v>
      </c>
      <c r="I10" t="str">
        <f ca="1"/>
        <v>XOM</v>
      </c>
      <c r="J10" s="561">
        <f ca="1"/>
        <v>2.5239999999999999E-2</v>
      </c>
      <c r="K10" s="153" t="str">
        <f ca="1"/>
        <v>XOM</v>
      </c>
      <c r="L10" s="561">
        <f ca="1"/>
        <v>2.5239999999999999E-2</v>
      </c>
      <c r="M10" s="1" t="str">
        <f ca="1"/>
        <v>IAG</v>
      </c>
      <c r="N10" s="560">
        <f ca="1"/>
        <v>127161.70923076924</v>
      </c>
      <c r="O10" t="str">
        <f ca="1"/>
        <v>XOM</v>
      </c>
      <c r="P10" s="560">
        <f ca="1"/>
        <v>17989.106399999993</v>
      </c>
      <c r="Q10" t="str">
        <f ca="1"/>
        <v>NEM</v>
      </c>
      <c r="R10" s="650">
        <f ca="1"/>
        <v>7.5007166666666647E-3</v>
      </c>
      <c r="S10" t="str">
        <f ca="1"/>
        <v>KR</v>
      </c>
      <c r="T10" s="87">
        <f ca="1"/>
        <v>6600</v>
      </c>
      <c r="U10" t="str">
        <f ca="1"/>
        <v>THC</v>
      </c>
      <c r="V10" s="87">
        <f ca="1"/>
        <v>8467.5</v>
      </c>
      <c r="W10" t="str">
        <f ca="1"/>
        <v>RIG</v>
      </c>
      <c r="X10">
        <f ca="1"/>
        <v>1</v>
      </c>
      <c r="Y10" t="str">
        <f ca="1"/>
        <v>SAP</v>
      </c>
      <c r="Z10">
        <f ca="1"/>
        <v>2</v>
      </c>
      <c r="AA10" t="str">
        <f ca="1"/>
        <v>RIG</v>
      </c>
      <c r="AB10">
        <f ca="1"/>
        <v>70</v>
      </c>
      <c r="AC10" t="str">
        <f ca="1"/>
        <v>EPIX</v>
      </c>
      <c r="AD10">
        <f ca="1"/>
        <v>86</v>
      </c>
      <c r="AE10" t="str">
        <f ca="1"/>
        <v>EPIX</v>
      </c>
      <c r="AF10" s="87">
        <f ca="1"/>
        <v>0</v>
      </c>
      <c r="AG10" t="str">
        <f ca="1"/>
        <v>SAFASML</v>
      </c>
      <c r="AH10" s="87">
        <f ca="1"/>
        <v>19298.299999999996</v>
      </c>
      <c r="AI10" t="str">
        <f ca="1"/>
        <v>MVEDSY</v>
      </c>
      <c r="AJ10" s="87">
        <f ca="1"/>
        <v>16669.999999999996</v>
      </c>
      <c r="AK10" s="90" t="str">
        <f ca="1"/>
        <v>NEM</v>
      </c>
      <c r="AL10" s="310">
        <f ca="1"/>
        <v>7.5007166666666647E-3</v>
      </c>
      <c r="AM10" t="str">
        <f ca="1"/>
        <v>GLE</v>
      </c>
      <c r="AN10" s="310" t="str">
        <f ca="1"/>
        <v/>
      </c>
      <c r="AO10" t="str">
        <f ca="1"/>
        <v>MSFT</v>
      </c>
      <c r="AP10" s="310">
        <f ca="1"/>
        <v>-0.33145682215333333</v>
      </c>
      <c r="AQ10" s="87" t="str">
        <f ca="1"/>
        <v>LUMN</v>
      </c>
      <c r="AR10" s="90">
        <f ca="1"/>
        <v>1.3547421100999781</v>
      </c>
      <c r="AS10" s="94" t="str">
        <f ca="1"/>
        <v>DDD</v>
      </c>
      <c r="AT10" s="90">
        <f ca="1"/>
        <v>0.35714285714285715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PFE</v>
      </c>
      <c r="F11" s="559">
        <f ca="1"/>
        <v>1.5310946563079202</v>
      </c>
      <c r="G11" s="153" t="str">
        <f ca="1"/>
        <v>ASML</v>
      </c>
      <c r="H11" s="560">
        <f ca="1"/>
        <v>782160.81</v>
      </c>
      <c r="I11" t="str">
        <f ca="1"/>
        <v>KR</v>
      </c>
      <c r="J11" s="561">
        <f ca="1"/>
        <v>2.3254E-2</v>
      </c>
      <c r="K11" s="153" t="str">
        <f ca="1"/>
        <v>KR</v>
      </c>
      <c r="L11" s="561">
        <f ca="1"/>
        <v>2.3254E-2</v>
      </c>
      <c r="M11" s="1" t="str">
        <f ca="1"/>
        <v>MVEENI</v>
      </c>
      <c r="N11" s="560">
        <f ca="1"/>
        <v>90125.200000000026</v>
      </c>
      <c r="O11" t="str">
        <f ca="1"/>
        <v>GS</v>
      </c>
      <c r="P11" s="560">
        <f ca="1"/>
        <v>15305.601700000003</v>
      </c>
      <c r="Q11" t="str">
        <f ca="1"/>
        <v>NOTE</v>
      </c>
      <c r="R11" s="650">
        <f ca="1"/>
        <v>5.4248636904761921E-3</v>
      </c>
      <c r="S11" t="str">
        <f ca="1"/>
        <v>MSFT</v>
      </c>
      <c r="T11" s="87">
        <f ca="1"/>
        <v>6174</v>
      </c>
      <c r="U11" t="str">
        <f ca="1"/>
        <v>SSYS</v>
      </c>
      <c r="V11" s="87">
        <f ca="1"/>
        <v>7680</v>
      </c>
      <c r="W11" t="str">
        <f ca="1"/>
        <v>X</v>
      </c>
      <c r="X11">
        <f ca="1"/>
        <v>1</v>
      </c>
      <c r="Y11" t="str">
        <f ca="1"/>
        <v>UN0</v>
      </c>
      <c r="Z11">
        <f ca="1"/>
        <v>2</v>
      </c>
      <c r="AA11" t="str">
        <f ca="1"/>
        <v>PW</v>
      </c>
      <c r="AB11">
        <f ca="1"/>
        <v>66</v>
      </c>
      <c r="AC11" t="str">
        <f ca="1"/>
        <v>SAFGM</v>
      </c>
      <c r="AD11">
        <f ca="1"/>
        <v>86</v>
      </c>
      <c r="AE11" t="str">
        <f ca="1"/>
        <v>GM</v>
      </c>
      <c r="AF11" s="87">
        <f ca="1"/>
        <v>0</v>
      </c>
      <c r="AG11" t="str">
        <f ca="1"/>
        <v>SAFAMZN</v>
      </c>
      <c r="AH11" s="87">
        <f ca="1"/>
        <v>15655.000000000002</v>
      </c>
      <c r="AI11" t="str">
        <f ca="1"/>
        <v>NFLX</v>
      </c>
      <c r="AJ11" s="87">
        <f ca="1"/>
        <v>13430.999999999995</v>
      </c>
      <c r="AK11" s="90" t="str">
        <f ca="1"/>
        <v>NOTE</v>
      </c>
      <c r="AL11" s="310">
        <f ca="1"/>
        <v>5.4248636904761921E-3</v>
      </c>
      <c r="AM11" t="str">
        <f ca="1"/>
        <v>GS</v>
      </c>
      <c r="AN11" s="310" t="str">
        <f ca="1"/>
        <v/>
      </c>
      <c r="AO11" t="str">
        <f ca="1"/>
        <v>IAG</v>
      </c>
      <c r="AP11" s="310">
        <f ca="1"/>
        <v>-0.31827873797420492</v>
      </c>
      <c r="AQ11" s="87" t="str">
        <f ca="1"/>
        <v>RIG</v>
      </c>
      <c r="AR11" s="90">
        <f ca="1"/>
        <v>1.3429379984563932</v>
      </c>
      <c r="AS11" s="94" t="str">
        <f ca="1"/>
        <v>F</v>
      </c>
      <c r="AT11" s="90">
        <f ca="1"/>
        <v>0.25</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ASML</v>
      </c>
      <c r="F12" s="559">
        <f ca="1"/>
        <v>1.4227731762002704</v>
      </c>
      <c r="G12" s="153" t="str">
        <f ca="1"/>
        <v>LOCK</v>
      </c>
      <c r="H12" s="560">
        <f ca="1"/>
        <v>372701.39999999991</v>
      </c>
      <c r="I12" t="str">
        <f ca="1"/>
        <v>OXY</v>
      </c>
      <c r="J12" s="561">
        <f ca="1"/>
        <v>2.2067E-2</v>
      </c>
      <c r="K12" s="153" t="str">
        <f ca="1"/>
        <v>OXY</v>
      </c>
      <c r="L12" s="561">
        <f ca="1"/>
        <v>2.2067E-2</v>
      </c>
      <c r="M12" s="1" t="str">
        <f ca="1"/>
        <v>THC</v>
      </c>
      <c r="N12" s="560">
        <f ca="1"/>
        <v>66545.614999999991</v>
      </c>
      <c r="O12" t="str">
        <f ca="1"/>
        <v>JBASML</v>
      </c>
      <c r="P12" s="560">
        <f ca="1"/>
        <v>12746.771999999972</v>
      </c>
      <c r="Q12" t="str">
        <f ca="1"/>
        <v>NEE</v>
      </c>
      <c r="R12" s="650">
        <f ca="1"/>
        <v>4.9143035714285721E-3</v>
      </c>
      <c r="S12" t="str">
        <f ca="1"/>
        <v>MVEORA</v>
      </c>
      <c r="T12" s="87">
        <f ca="1"/>
        <v>4257</v>
      </c>
      <c r="U12" t="str">
        <f ca="1"/>
        <v>OXY</v>
      </c>
      <c r="V12" s="87">
        <f ca="1"/>
        <v>7677.2000000000116</v>
      </c>
      <c r="W12" t="str">
        <f ca="1"/>
        <v>MVEORA</v>
      </c>
      <c r="X12">
        <f ca="1"/>
        <v>2</v>
      </c>
      <c r="Y12" t="str">
        <f ca="1"/>
        <v>LAZR</v>
      </c>
      <c r="Z12">
        <f ca="1"/>
        <v>2</v>
      </c>
      <c r="AA12" t="str">
        <f ca="1"/>
        <v>MVEORA</v>
      </c>
      <c r="AB12">
        <f ca="1"/>
        <v>66</v>
      </c>
      <c r="AC12" t="str">
        <f ca="1"/>
        <v>RIG</v>
      </c>
      <c r="AD12">
        <f ca="1"/>
        <v>81</v>
      </c>
      <c r="AE12" t="str">
        <f ca="1"/>
        <v>HPE</v>
      </c>
      <c r="AF12" s="87">
        <f ca="1"/>
        <v>0</v>
      </c>
      <c r="AG12" t="str">
        <f ca="1"/>
        <v>ASML</v>
      </c>
      <c r="AH12" s="87">
        <f ca="1"/>
        <v>11379.999999999996</v>
      </c>
      <c r="AI12" t="str">
        <f ca="1"/>
        <v>DSY</v>
      </c>
      <c r="AJ12" s="87">
        <f ca="1"/>
        <v>11600.000000000002</v>
      </c>
      <c r="AK12" s="90" t="str">
        <f ca="1"/>
        <v>NEE</v>
      </c>
      <c r="AL12" s="310">
        <f ca="1"/>
        <v>4.9143035714285721E-3</v>
      </c>
      <c r="AM12" t="str">
        <f ca="1"/>
        <v>NVS</v>
      </c>
      <c r="AN12" s="310" t="str">
        <f ca="1"/>
        <v/>
      </c>
      <c r="AO12" t="str">
        <f ca="1"/>
        <v>MVEEOAN</v>
      </c>
      <c r="AP12" s="310">
        <f ca="1"/>
        <v>-0.31585675256131635</v>
      </c>
      <c r="AQ12" s="87" t="str">
        <f ca="1"/>
        <v>PROF</v>
      </c>
      <c r="AR12" s="90">
        <f ca="1"/>
        <v>1.1586967945349438</v>
      </c>
      <c r="AS12" s="94" t="str">
        <f ca="1"/>
        <v>NEM</v>
      </c>
      <c r="AT12" s="90">
        <f ca="1"/>
        <v>0.1111111111111111</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SAFASML</v>
      </c>
      <c r="F13" s="559">
        <f ca="1"/>
        <v>1.4227731762002704</v>
      </c>
      <c r="G13" s="153" t="str">
        <f ca="1"/>
        <v>JBEOAN</v>
      </c>
      <c r="H13" s="560">
        <f ca="1"/>
        <v>319043.02100000001</v>
      </c>
      <c r="I13" t="str">
        <f ca="1"/>
        <v>NEE</v>
      </c>
      <c r="J13" s="561">
        <f ca="1"/>
        <v>2.0853999999999998E-2</v>
      </c>
      <c r="K13" s="153" t="str">
        <f ca="1"/>
        <v>NEE</v>
      </c>
      <c r="L13" s="561">
        <f ca="1"/>
        <v>2.0853999999999998E-2</v>
      </c>
      <c r="M13" s="1" t="str">
        <f ca="1"/>
        <v>SAFAMZN</v>
      </c>
      <c r="N13" s="560">
        <f ca="1"/>
        <v>59790.000000000022</v>
      </c>
      <c r="O13" t="str">
        <f ca="1"/>
        <v>SAFAMZN</v>
      </c>
      <c r="P13" s="560">
        <f ca="1"/>
        <v>11425.216999999997</v>
      </c>
      <c r="Q13" t="str">
        <f ca="1"/>
        <v>LUV</v>
      </c>
      <c r="R13" s="650">
        <f ca="1"/>
        <v>4.5243273809523815E-3</v>
      </c>
      <c r="S13" t="str">
        <f ca="1"/>
        <v>TSM</v>
      </c>
      <c r="T13" s="87">
        <f ca="1"/>
        <v>3352.5</v>
      </c>
      <c r="U13" t="str">
        <f ca="1"/>
        <v>VONN</v>
      </c>
      <c r="V13" s="87">
        <f ca="1"/>
        <v>7587.4000000000233</v>
      </c>
      <c r="W13" t="str">
        <f ca="1"/>
        <v>ORA</v>
      </c>
      <c r="X13">
        <f ca="1"/>
        <v>2</v>
      </c>
      <c r="Y13" t="str">
        <f ca="1"/>
        <v>OXY</v>
      </c>
      <c r="Z13">
        <f ca="1"/>
        <v>2</v>
      </c>
      <c r="AA13" t="str">
        <f ca="1"/>
        <v>ORA</v>
      </c>
      <c r="AB13">
        <f ca="1"/>
        <v>66</v>
      </c>
      <c r="AC13" t="str">
        <f ca="1"/>
        <v>XOM</v>
      </c>
      <c r="AD13">
        <f ca="1"/>
        <v>77</v>
      </c>
      <c r="AE13" t="str">
        <f ca="1"/>
        <v>IAG</v>
      </c>
      <c r="AF13" s="87">
        <f ca="1"/>
        <v>0</v>
      </c>
      <c r="AG13" t="str">
        <f ca="1"/>
        <v>ENI</v>
      </c>
      <c r="AH13" s="87">
        <f ca="1"/>
        <v>10630.620000000012</v>
      </c>
      <c r="AI13" t="str">
        <f ca="1"/>
        <v>PFE</v>
      </c>
      <c r="AJ13" s="87">
        <f ca="1"/>
        <v>11109.672</v>
      </c>
      <c r="AK13" s="90" t="str">
        <f ca="1"/>
        <v>LUV</v>
      </c>
      <c r="AL13" s="310">
        <f ca="1"/>
        <v>4.5243273809523815E-3</v>
      </c>
      <c r="AM13" t="str">
        <f ca="1"/>
        <v>ORA</v>
      </c>
      <c r="AN13" s="310" t="str">
        <f ca="1"/>
        <v/>
      </c>
      <c r="AO13" t="str">
        <f ca="1"/>
        <v>SAFGM</v>
      </c>
      <c r="AP13" s="310">
        <f ca="1"/>
        <v>-0.31432657797905456</v>
      </c>
      <c r="AQ13" s="87" t="str">
        <f ca="1"/>
        <v>AAPL</v>
      </c>
      <c r="AR13" s="90">
        <f ca="1"/>
        <v>1.1285562530178659</v>
      </c>
      <c r="AS13" s="94" t="str">
        <f ca="1"/>
        <v>AAPL</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JBASML</v>
      </c>
      <c r="F14" s="559">
        <f ca="1"/>
        <v>1.4227731762002704</v>
      </c>
      <c r="G14" s="153" t="str">
        <f ca="1"/>
        <v>THC</v>
      </c>
      <c r="H14" s="560">
        <f ca="1"/>
        <v>300433.348</v>
      </c>
      <c r="I14" t="str">
        <f ca="1"/>
        <v>UN0</v>
      </c>
      <c r="J14" s="561">
        <f ca="1"/>
        <v>1.9678000000000001E-2</v>
      </c>
      <c r="K14" s="153" t="str">
        <f ca="1"/>
        <v>UN0</v>
      </c>
      <c r="L14" s="561">
        <f ca="1"/>
        <v>1.9678000000000001E-2</v>
      </c>
      <c r="M14" s="1" t="str">
        <f ca="1"/>
        <v>SAFASML</v>
      </c>
      <c r="N14" s="560">
        <f ca="1"/>
        <v>54106.761999999973</v>
      </c>
      <c r="O14" t="str">
        <f ca="1"/>
        <v>SAFASML</v>
      </c>
      <c r="P14" s="560">
        <f ca="1"/>
        <v>11342.831759999994</v>
      </c>
      <c r="Q14" t="str">
        <f ca="1"/>
        <v>IAG</v>
      </c>
      <c r="R14" s="650">
        <f ca="1"/>
        <v>3.9121726190476189E-3</v>
      </c>
      <c r="S14" t="str">
        <f ca="1"/>
        <v>SAFMRNA</v>
      </c>
      <c r="T14" s="87">
        <f ca="1"/>
        <v>3275</v>
      </c>
      <c r="U14" t="str">
        <f ca="1"/>
        <v>KR</v>
      </c>
      <c r="V14" s="87">
        <f ca="1"/>
        <v>6850</v>
      </c>
      <c r="W14" t="str">
        <f ca="1"/>
        <v>AMZN</v>
      </c>
      <c r="X14">
        <f ca="1"/>
        <v>3</v>
      </c>
      <c r="Y14" t="str">
        <f ca="1"/>
        <v>AVGO</v>
      </c>
      <c r="Z14">
        <f ca="1"/>
        <v>3</v>
      </c>
      <c r="AA14" t="str">
        <f ca="1"/>
        <v>XOM</v>
      </c>
      <c r="AB14">
        <f ca="1"/>
        <v>65</v>
      </c>
      <c r="AC14" t="str">
        <f ca="1"/>
        <v>AAPL</v>
      </c>
      <c r="AD14">
        <f ca="1"/>
        <v>73</v>
      </c>
      <c r="AE14" t="str">
        <f ca="1"/>
        <v>LNSR</v>
      </c>
      <c r="AF14" s="87">
        <f ca="1"/>
        <v>0</v>
      </c>
      <c r="AG14" t="str">
        <f ca="1"/>
        <v>NEM</v>
      </c>
      <c r="AH14" s="87">
        <f ca="1"/>
        <v>8939.9999999999982</v>
      </c>
      <c r="AI14" t="str">
        <f ca="1"/>
        <v>OXY</v>
      </c>
      <c r="AJ14" s="87">
        <f ca="1"/>
        <v>10670.699999999997</v>
      </c>
      <c r="AK14" s="90" t="str">
        <f ca="1"/>
        <v>IAG</v>
      </c>
      <c r="AL14" s="310">
        <f ca="1"/>
        <v>3.9121726190476189E-3</v>
      </c>
      <c r="AM14" t="str">
        <f ca="1"/>
        <v>RRC</v>
      </c>
      <c r="AN14" s="310" t="str">
        <f ca="1"/>
        <v/>
      </c>
      <c r="AO14" t="str">
        <f ca="1"/>
        <v>CVS</v>
      </c>
      <c r="AP14" s="310">
        <f ca="1"/>
        <v>-0.29158795027904616</v>
      </c>
      <c r="AQ14" s="87" t="str">
        <f ca="1"/>
        <v>NEE</v>
      </c>
      <c r="AR14" s="90">
        <f ca="1"/>
        <v>1.1110762438093704</v>
      </c>
      <c r="AS14" s="94" t="str">
        <f ca="1"/>
        <v>ADEA</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ADEA</v>
      </c>
      <c r="F15" s="559">
        <f ca="1"/>
        <v>1.3883562973538</v>
      </c>
      <c r="G15" s="153" t="str">
        <f ca="1"/>
        <v>SAFAMZN</v>
      </c>
      <c r="H15" s="560">
        <f ca="1"/>
        <v>195188.84100000001</v>
      </c>
      <c r="I15" t="str">
        <f ca="1"/>
        <v>MVEUN0</v>
      </c>
      <c r="J15" s="561">
        <f ca="1"/>
        <v>1.9678000000000001E-2</v>
      </c>
      <c r="K15" s="153" t="str">
        <f ca="1"/>
        <v>MVEUN0</v>
      </c>
      <c r="L15" s="561">
        <f ca="1"/>
        <v>1.9678000000000001E-2</v>
      </c>
      <c r="M15" s="1" t="str">
        <f ca="1"/>
        <v>MVEORA</v>
      </c>
      <c r="N15" s="560">
        <f ca="1"/>
        <v>40592.999999999978</v>
      </c>
      <c r="O15" t="str">
        <f ca="1"/>
        <v>MVEEOAN</v>
      </c>
      <c r="P15" s="560">
        <f ca="1"/>
        <v>10571.991169999999</v>
      </c>
      <c r="Q15" t="str">
        <f ca="1"/>
        <v>AVGO</v>
      </c>
      <c r="R15" s="650">
        <f ca="1"/>
        <v>3.6409261904761904E-3</v>
      </c>
      <c r="S15" t="str">
        <f ca="1"/>
        <v>SSYS</v>
      </c>
      <c r="T15" s="87">
        <f ca="1"/>
        <v>3200</v>
      </c>
      <c r="U15" t="str">
        <f ca="1"/>
        <v>AMZN</v>
      </c>
      <c r="V15" s="87">
        <f ca="1"/>
        <v>6300</v>
      </c>
      <c r="W15" t="str">
        <f ca="1"/>
        <v>PW</v>
      </c>
      <c r="X15">
        <f ca="1"/>
        <v>3</v>
      </c>
      <c r="Y15" t="str">
        <f ca="1"/>
        <v>DSY</v>
      </c>
      <c r="Z15">
        <f ca="1"/>
        <v>3</v>
      </c>
      <c r="AA15" t="str">
        <f ca="1"/>
        <v>F</v>
      </c>
      <c r="AB15">
        <f ca="1"/>
        <v>63</v>
      </c>
      <c r="AC15" t="str">
        <f ca="1"/>
        <v>UN0</v>
      </c>
      <c r="AD15">
        <f ca="1"/>
        <v>73</v>
      </c>
      <c r="AE15" t="str">
        <f ca="1"/>
        <v>LUMN</v>
      </c>
      <c r="AF15" s="87">
        <f ca="1"/>
        <v>0</v>
      </c>
      <c r="AG15" t="str">
        <f ca="1"/>
        <v>RIG</v>
      </c>
      <c r="AH15" s="87">
        <f ca="1"/>
        <v>7540.0000000000009</v>
      </c>
      <c r="AI15" t="str">
        <f ca="1"/>
        <v>SAFDDD</v>
      </c>
      <c r="AJ15" s="87">
        <f ca="1"/>
        <v>10285</v>
      </c>
      <c r="AK15" s="90" t="str">
        <f ca="1"/>
        <v>AVGO</v>
      </c>
      <c r="AL15" s="310">
        <f ca="1"/>
        <v>3.6409261904761904E-3</v>
      </c>
      <c r="AM15" t="str">
        <f ca="1"/>
        <v>THC</v>
      </c>
      <c r="AN15" s="310" t="str">
        <f ca="1"/>
        <v/>
      </c>
      <c r="AO15" t="str">
        <f ca="1"/>
        <v>TSM</v>
      </c>
      <c r="AP15" s="310">
        <f ca="1"/>
        <v>-0.28910404786892907</v>
      </c>
      <c r="AQ15" s="87" t="str">
        <f ca="1"/>
        <v>GLE</v>
      </c>
      <c r="AR15" s="90">
        <f ca="1"/>
        <v>1.08740109727374</v>
      </c>
      <c r="AS15" s="94" t="str">
        <f ca="1"/>
        <v>AET</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SAP</v>
      </c>
      <c r="F16" s="559">
        <f ca="1"/>
        <v>1.1597733249552002</v>
      </c>
      <c r="G16" s="153" t="str">
        <f ca="1"/>
        <v>HPE</v>
      </c>
      <c r="H16" s="560">
        <f ca="1"/>
        <v>178990</v>
      </c>
      <c r="I16" t="str">
        <f ca="1"/>
        <v>RRC</v>
      </c>
      <c r="J16" s="561">
        <f ca="1"/>
        <v>1.9057999999999999E-2</v>
      </c>
      <c r="K16" s="153" t="str">
        <f ca="1"/>
        <v>RRC</v>
      </c>
      <c r="L16" s="561">
        <f ca="1"/>
        <v>1.9057999999999999E-2</v>
      </c>
      <c r="M16" s="1" t="str">
        <f ca="1"/>
        <v>JBEOAN</v>
      </c>
      <c r="N16" s="560">
        <f ca="1"/>
        <v>31822.461000000028</v>
      </c>
      <c r="O16" t="str">
        <f ca="1"/>
        <v>NVS</v>
      </c>
      <c r="P16" s="560">
        <f ca="1"/>
        <v>9351.4229200000027</v>
      </c>
      <c r="Q16" t="str">
        <f ca="1"/>
        <v>MSFT</v>
      </c>
      <c r="R16" s="650">
        <f ca="1"/>
        <v>3.071321428571428E-3</v>
      </c>
      <c r="S16" t="str">
        <f ca="1"/>
        <v>DVA</v>
      </c>
      <c r="T16" s="87">
        <f ca="1"/>
        <v>3171</v>
      </c>
      <c r="U16" t="str">
        <f ca="1"/>
        <v>SAFDDD</v>
      </c>
      <c r="V16" s="87">
        <f ca="1"/>
        <v>5499.9999999999709</v>
      </c>
      <c r="W16" t="str">
        <f ca="1"/>
        <v>RIGL</v>
      </c>
      <c r="X16">
        <f ca="1"/>
        <v>3</v>
      </c>
      <c r="Y16" t="str">
        <f ca="1"/>
        <v>NOTE</v>
      </c>
      <c r="Z16">
        <f ca="1"/>
        <v>3</v>
      </c>
      <c r="AA16" t="str">
        <f ca="1"/>
        <v>AAPL</v>
      </c>
      <c r="AB16">
        <f ca="1"/>
        <v>61</v>
      </c>
      <c r="AC16" t="str">
        <f ca="1"/>
        <v>SAFAAPL</v>
      </c>
      <c r="AD16">
        <f ca="1"/>
        <v>73</v>
      </c>
      <c r="AE16" t="str">
        <f ca="1"/>
        <v>MSFT</v>
      </c>
      <c r="AF16" s="87">
        <f ca="1"/>
        <v>0</v>
      </c>
      <c r="AG16" t="str">
        <f ca="1"/>
        <v>AZN</v>
      </c>
      <c r="AH16" s="87">
        <f ca="1"/>
        <v>7357.5000000000018</v>
      </c>
      <c r="AI16" t="str">
        <f ca="1"/>
        <v>SSYS</v>
      </c>
      <c r="AJ16" s="87">
        <f ca="1"/>
        <v>9922.5998999999974</v>
      </c>
      <c r="AK16" s="90" t="str">
        <f ca="1"/>
        <v>MSFT</v>
      </c>
      <c r="AL16" s="310">
        <f ca="1"/>
        <v>3.071321428571428E-3</v>
      </c>
      <c r="AM16" t="str">
        <f ca="1"/>
        <v>LOCK</v>
      </c>
      <c r="AN16" s="310" t="str">
        <f ca="1"/>
        <v/>
      </c>
      <c r="AO16" t="str">
        <f ca="1"/>
        <v>SAFAAPL</v>
      </c>
      <c r="AP16" s="310">
        <f ca="1"/>
        <v>-0.25686714051703147</v>
      </c>
      <c r="AQ16" s="87" t="str">
        <f ca="1"/>
        <v>X</v>
      </c>
      <c r="AR16" s="90">
        <f ca="1"/>
        <v>0.9017271786728438</v>
      </c>
      <c r="AS16" s="94" t="str">
        <f ca="1"/>
        <v>AMZN</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MVESAP</v>
      </c>
      <c r="F17" s="559">
        <f ca="1"/>
        <v>1.1597733249552002</v>
      </c>
      <c r="G17" s="153" t="str">
        <f ca="1"/>
        <v>SAFIAG</v>
      </c>
      <c r="H17" s="560">
        <f ca="1"/>
        <v>177515</v>
      </c>
      <c r="I17" t="str">
        <f ca="1"/>
        <v>F</v>
      </c>
      <c r="J17" s="561">
        <f ca="1"/>
        <v>1.8119E-2</v>
      </c>
      <c r="K17" s="153" t="str">
        <f ca="1"/>
        <v>F</v>
      </c>
      <c r="L17" s="561">
        <f ca="1"/>
        <v>1.8119E-2</v>
      </c>
      <c r="M17" s="1" t="str">
        <f ca="1"/>
        <v>AVGO</v>
      </c>
      <c r="N17" s="560">
        <f ca="1"/>
        <v>30660.791672999992</v>
      </c>
      <c r="O17" t="str">
        <f ca="1"/>
        <v>XYZ</v>
      </c>
      <c r="P17" s="560">
        <f ca="1"/>
        <v>8497.8479999999963</v>
      </c>
      <c r="Q17" t="str">
        <f ca="1"/>
        <v>VLVLY</v>
      </c>
      <c r="R17" s="650">
        <f ca="1"/>
        <v>3.0195535714285723E-3</v>
      </c>
      <c r="S17" t="str">
        <f ca="1"/>
        <v>OXY</v>
      </c>
      <c r="T17" s="87">
        <f ca="1"/>
        <v>3077.2000000000116</v>
      </c>
      <c r="U17" t="str">
        <f ca="1"/>
        <v>LAZR</v>
      </c>
      <c r="V17" s="87">
        <f ca="1"/>
        <v>4965.7599999999984</v>
      </c>
      <c r="W17" t="str">
        <f ca="1"/>
        <v>MVERWE</v>
      </c>
      <c r="X17">
        <f ca="1"/>
        <v>3</v>
      </c>
      <c r="Y17" t="str">
        <f ca="1"/>
        <v>TSM</v>
      </c>
      <c r="Z17">
        <f ca="1"/>
        <v>3</v>
      </c>
      <c r="AA17" t="str">
        <f ca="1"/>
        <v>SAFAAPL</v>
      </c>
      <c r="AB17">
        <f ca="1"/>
        <v>61</v>
      </c>
      <c r="AC17" t="str">
        <f ca="1"/>
        <v>MA</v>
      </c>
      <c r="AD17">
        <f ca="1"/>
        <v>72</v>
      </c>
      <c r="AE17" t="str">
        <f ca="1"/>
        <v>NEE</v>
      </c>
      <c r="AF17" s="87">
        <f ca="1"/>
        <v>0</v>
      </c>
      <c r="AG17" t="str">
        <f ca="1"/>
        <v>RIGL</v>
      </c>
      <c r="AH17" s="87">
        <f ca="1"/>
        <v>6980.0000000000036</v>
      </c>
      <c r="AI17" t="str">
        <f ca="1"/>
        <v>POET</v>
      </c>
      <c r="AJ17" s="87">
        <f ca="1"/>
        <v>9250.25</v>
      </c>
      <c r="AK17" s="90" t="str">
        <f ca="1"/>
        <v>VLVLY</v>
      </c>
      <c r="AL17" s="310">
        <f ca="1"/>
        <v>3.0195535714285723E-3</v>
      </c>
      <c r="AM17" t="str">
        <f ca="1"/>
        <v>LUMN</v>
      </c>
      <c r="AN17" s="310">
        <f ca="1"/>
        <v>1.0659622713730443</v>
      </c>
      <c r="AO17" t="str">
        <f ca="1"/>
        <v>NEM</v>
      </c>
      <c r="AP17" s="310">
        <f ca="1"/>
        <v>-0.25409844631073786</v>
      </c>
      <c r="AQ17" s="87" t="str">
        <f ca="1"/>
        <v>ASML</v>
      </c>
      <c r="AR17" s="90">
        <f ca="1"/>
        <v>0.89884682217892653</v>
      </c>
      <c r="AS17" s="94" t="str">
        <f ca="1"/>
        <v>ALDNE</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VTRS</v>
      </c>
      <c r="F18" s="559">
        <f ca="1"/>
        <v>1.133621174719351</v>
      </c>
      <c r="G18" s="153" t="str">
        <f ca="1"/>
        <v>SAFASML</v>
      </c>
      <c r="H18" s="560">
        <f ca="1"/>
        <v>176255.55800000002</v>
      </c>
      <c r="I18" t="str">
        <f ca="1"/>
        <v>NOTE</v>
      </c>
      <c r="J18" s="561">
        <f ca="1"/>
        <v>1.6667000000000001E-2</v>
      </c>
      <c r="K18" s="153" t="str">
        <f ca="1"/>
        <v>NOTE</v>
      </c>
      <c r="L18" s="561">
        <f ca="1"/>
        <v>1.6667000000000001E-2</v>
      </c>
      <c r="M18" s="1" t="str">
        <f ca="1"/>
        <v>JBASML</v>
      </c>
      <c r="N18" s="560">
        <f ca="1"/>
        <v>29411.999999999989</v>
      </c>
      <c r="O18" t="str">
        <f ca="1"/>
        <v>RRC</v>
      </c>
      <c r="P18" s="560">
        <f ca="1"/>
        <v>7834.5769999999893</v>
      </c>
      <c r="Q18" t="str">
        <f ca="1"/>
        <v>RIGL</v>
      </c>
      <c r="R18" s="650">
        <f ca="1"/>
        <v>2.4776148809523813E-3</v>
      </c>
      <c r="S18" t="str">
        <f ca="1"/>
        <v>RIG</v>
      </c>
      <c r="T18" s="87">
        <f ca="1"/>
        <v>3010</v>
      </c>
      <c r="U18" t="str">
        <f ca="1"/>
        <v>MVEORA</v>
      </c>
      <c r="V18" s="87">
        <f ca="1"/>
        <v>4455</v>
      </c>
      <c r="W18" t="str">
        <f ca="1"/>
        <v>SAFAMZN</v>
      </c>
      <c r="X18">
        <f ca="1"/>
        <v>3</v>
      </c>
      <c r="Y18" t="str">
        <f ca="1"/>
        <v>MVEUN0</v>
      </c>
      <c r="Z18">
        <f ca="1"/>
        <v>3</v>
      </c>
      <c r="AA18" t="str">
        <f ca="1"/>
        <v>DVA</v>
      </c>
      <c r="AB18">
        <f ca="1"/>
        <v>60</v>
      </c>
      <c r="AC18" t="str">
        <f ca="1"/>
        <v>PW</v>
      </c>
      <c r="AD18">
        <f ca="1"/>
        <v>70</v>
      </c>
      <c r="AE18" t="str">
        <f ca="1"/>
        <v>PAAS</v>
      </c>
      <c r="AF18" s="87">
        <f ca="1"/>
        <v>0</v>
      </c>
      <c r="AG18" t="str">
        <f ca="1"/>
        <v>DVA</v>
      </c>
      <c r="AH18" s="87">
        <f ca="1"/>
        <v>6502.9999999999945</v>
      </c>
      <c r="AI18" t="str">
        <f ca="1"/>
        <v>DDD</v>
      </c>
      <c r="AJ18" s="87">
        <f ca="1"/>
        <v>9249.9999999999982</v>
      </c>
      <c r="AK18" s="90" t="str">
        <f ca="1"/>
        <v>RIGL</v>
      </c>
      <c r="AL18" s="310">
        <f ca="1"/>
        <v>2.4776148809523813E-3</v>
      </c>
      <c r="AM18" t="str">
        <f ca="1"/>
        <v>X</v>
      </c>
      <c r="AN18" s="310">
        <f ca="1"/>
        <v>0.76947185529598539</v>
      </c>
      <c r="AO18" t="str">
        <f ca="1"/>
        <v>SAFASML</v>
      </c>
      <c r="AP18" s="310">
        <f ca="1"/>
        <v>-0.25113818098300406</v>
      </c>
      <c r="AQ18" s="87" t="str">
        <f ca="1"/>
        <v>SAFAAPL</v>
      </c>
      <c r="AR18" s="90">
        <f ca="1"/>
        <v>0.84098280960933391</v>
      </c>
      <c r="AS18" s="94" t="str">
        <f ca="1"/>
        <v>ASML</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TSLA</v>
      </c>
      <c r="F19" s="559">
        <f ca="1"/>
        <v>1.0965756499001196</v>
      </c>
      <c r="G19" s="153" t="str">
        <f ca="1"/>
        <v>AZN</v>
      </c>
      <c r="H19" s="560">
        <f ca="1"/>
        <v>150611.89999999997</v>
      </c>
      <c r="I19" t="str">
        <f ca="1"/>
        <v>MVEORA</v>
      </c>
      <c r="J19" s="561">
        <f ca="1"/>
        <v>1.6141000000000003E-2</v>
      </c>
      <c r="K19" s="153" t="str">
        <f ca="1"/>
        <v>MVEORA</v>
      </c>
      <c r="L19" s="561">
        <f ca="1"/>
        <v>1.6141000000000003E-2</v>
      </c>
      <c r="M19" s="1" t="str">
        <f ca="1"/>
        <v>HPE</v>
      </c>
      <c r="N19" s="560">
        <f ca="1"/>
        <v>27728.167999999987</v>
      </c>
      <c r="O19" t="str">
        <f ca="1"/>
        <v>MVEGLE</v>
      </c>
      <c r="P19" s="560">
        <f ca="1"/>
        <v>7151.3580000000011</v>
      </c>
      <c r="Q19" t="str">
        <f ca="1"/>
        <v>MVERWE</v>
      </c>
      <c r="R19" s="650">
        <f ca="1"/>
        <v>2.4776148809523813E-3</v>
      </c>
      <c r="S19" t="str">
        <f ca="1"/>
        <v>XYZ</v>
      </c>
      <c r="T19" s="87">
        <f ca="1"/>
        <v>2850</v>
      </c>
      <c r="U19" t="str">
        <f ca="1"/>
        <v>DDD</v>
      </c>
      <c r="V19" s="87">
        <f ca="1"/>
        <v>4249.9999999999709</v>
      </c>
      <c r="W19" t="str">
        <f ca="1"/>
        <v>F</v>
      </c>
      <c r="X19">
        <f ca="1"/>
        <v>3</v>
      </c>
      <c r="Y19" t="str">
        <f ca="1"/>
        <v>LUV</v>
      </c>
      <c r="Z19">
        <f ca="1"/>
        <v>3</v>
      </c>
      <c r="AA19" t="str">
        <f ca="1"/>
        <v>RIGL</v>
      </c>
      <c r="AB19">
        <f ca="1"/>
        <v>59</v>
      </c>
      <c r="AC19" t="str">
        <f ca="1"/>
        <v>F</v>
      </c>
      <c r="AD19">
        <f ca="1"/>
        <v>67</v>
      </c>
      <c r="AE19" t="str">
        <f ca="1"/>
        <v>PROF</v>
      </c>
      <c r="AF19" s="87">
        <f ca="1"/>
        <v>0</v>
      </c>
      <c r="AG19" t="str">
        <f ca="1"/>
        <v>JBEOAN</v>
      </c>
      <c r="AH19" s="87">
        <f ca="1"/>
        <v>6425.0000000000009</v>
      </c>
      <c r="AI19" t="str">
        <f ca="1"/>
        <v>MVEUN0</v>
      </c>
      <c r="AJ19" s="87">
        <f ca="1"/>
        <v>8505.84</v>
      </c>
      <c r="AK19" s="90" t="str">
        <f ca="1"/>
        <v>MVERWE</v>
      </c>
      <c r="AL19" s="310">
        <f ca="1"/>
        <v>2.4776148809523813E-3</v>
      </c>
      <c r="AM19" t="str">
        <f ca="1"/>
        <v>BLDP</v>
      </c>
      <c r="AN19" s="310">
        <f ca="1"/>
        <v>0.62384020522388051</v>
      </c>
      <c r="AO19" t="str">
        <f ca="1"/>
        <v>ASML</v>
      </c>
      <c r="AP19" s="310">
        <f ca="1"/>
        <v>-0.24543417547083132</v>
      </c>
      <c r="AQ19" s="87" t="str">
        <f ca="1"/>
        <v>SAFIAG</v>
      </c>
      <c r="AR19" s="90">
        <f ca="1"/>
        <v>0.77877699323572791</v>
      </c>
      <c r="AS19" s="94" t="str">
        <f ca="1"/>
        <v>AVGO</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MVEORA</v>
      </c>
      <c r="F20" s="559">
        <f ca="1"/>
        <v>1.0808883296742351</v>
      </c>
      <c r="G20" s="153" t="str">
        <f ca="1"/>
        <v>RIGL</v>
      </c>
      <c r="H20" s="560">
        <f ca="1"/>
        <v>145386.22000000015</v>
      </c>
      <c r="I20" t="str">
        <f ca="1"/>
        <v>ORA</v>
      </c>
      <c r="J20" s="561">
        <f ca="1"/>
        <v>1.6141000000000003E-2</v>
      </c>
      <c r="K20" s="153" t="str">
        <f ca="1"/>
        <v>ORA</v>
      </c>
      <c r="L20" s="561">
        <f ca="1"/>
        <v>1.6141000000000003E-2</v>
      </c>
      <c r="M20" s="1" t="str">
        <f ca="1"/>
        <v>BLDP</v>
      </c>
      <c r="N20" s="560">
        <f ca="1"/>
        <v>26819.999999999996</v>
      </c>
      <c r="O20" t="str">
        <f ca="1"/>
        <v>LNSR</v>
      </c>
      <c r="P20" s="560">
        <f ca="1"/>
        <v>6493.0739999999996</v>
      </c>
      <c r="Q20" t="str">
        <f ca="1"/>
        <v>DXC</v>
      </c>
      <c r="R20" s="650">
        <f ca="1"/>
        <v>2.4683999999999999E-3</v>
      </c>
      <c r="S20" t="str">
        <f ca="1"/>
        <v>PAAS</v>
      </c>
      <c r="T20" s="87">
        <f ca="1"/>
        <v>2519.6000000000058</v>
      </c>
      <c r="U20" t="str">
        <f ca="1"/>
        <v>RIG</v>
      </c>
      <c r="V20" s="87">
        <f ca="1"/>
        <v>4210</v>
      </c>
      <c r="W20" t="str">
        <f ca="1"/>
        <v>LNSR</v>
      </c>
      <c r="X20">
        <f ca="1"/>
        <v>4</v>
      </c>
      <c r="Y20" t="str">
        <f ca="1"/>
        <v>NFLX</v>
      </c>
      <c r="Z20">
        <f ca="1"/>
        <v>4</v>
      </c>
      <c r="AA20" t="str">
        <f ca="1"/>
        <v>VTRS</v>
      </c>
      <c r="AB20">
        <f ca="1"/>
        <v>59</v>
      </c>
      <c r="AC20" t="str">
        <f ca="1"/>
        <v>THC</v>
      </c>
      <c r="AD20">
        <f ca="1"/>
        <v>65</v>
      </c>
      <c r="AE20" t="str">
        <f ca="1"/>
        <v>POET</v>
      </c>
      <c r="AF20" s="87">
        <f ca="1"/>
        <v>0</v>
      </c>
      <c r="AG20" t="str">
        <f ca="1"/>
        <v>DDD</v>
      </c>
      <c r="AH20" s="87">
        <f ca="1"/>
        <v>6300.0000000000036</v>
      </c>
      <c r="AI20" t="str">
        <f ca="1"/>
        <v>GNRC</v>
      </c>
      <c r="AJ20" s="87">
        <f ca="1"/>
        <v>7477.9999999999973</v>
      </c>
      <c r="AK20" s="90" t="str">
        <f ca="1"/>
        <v>DXC</v>
      </c>
      <c r="AL20" s="310">
        <f ca="1"/>
        <v>2.4683999999999999E-3</v>
      </c>
      <c r="AM20" t="str">
        <f ca="1"/>
        <v>GM</v>
      </c>
      <c r="AN20" s="310">
        <f ca="1"/>
        <v>0.51250410489330689</v>
      </c>
      <c r="AO20" t="str">
        <f ca="1"/>
        <v>MVERWE</v>
      </c>
      <c r="AP20" s="310">
        <f ca="1"/>
        <v>-0.23133456070845954</v>
      </c>
      <c r="AQ20" s="87" t="str">
        <f ca="1"/>
        <v>IAG</v>
      </c>
      <c r="AR20" s="90">
        <f ca="1"/>
        <v>0.7700921313759248</v>
      </c>
      <c r="AS20" s="94" t="str">
        <f ca="1"/>
        <v>AZN</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ORA</v>
      </c>
      <c r="F21" s="559">
        <f ca="1"/>
        <v>1.0808883296742351</v>
      </c>
      <c r="G21" s="153" t="str">
        <f ca="1"/>
        <v>CSCO</v>
      </c>
      <c r="H21" s="560">
        <f ca="1"/>
        <v>131563.84999999998</v>
      </c>
      <c r="I21" t="str">
        <f ca="1"/>
        <v>SHECY</v>
      </c>
      <c r="J21" s="561">
        <f ca="1"/>
        <v>1.5906E-2</v>
      </c>
      <c r="K21" s="153" t="str">
        <f ca="1"/>
        <v>SHECY</v>
      </c>
      <c r="L21" s="561">
        <f ca="1"/>
        <v>1.5906E-2</v>
      </c>
      <c r="M21" s="1" t="str">
        <f ca="1"/>
        <v>SAFAAPL</v>
      </c>
      <c r="N21" s="560">
        <f ca="1"/>
        <v>23849.99080000001</v>
      </c>
      <c r="O21" t="str">
        <f ca="1"/>
        <v>AMZN</v>
      </c>
      <c r="P21" s="560">
        <f ca="1"/>
        <v>4597.0166000000036</v>
      </c>
      <c r="Q21" t="str">
        <f ca="1"/>
        <v>MVEEOAN</v>
      </c>
      <c r="R21" s="650">
        <f ca="1"/>
        <v>2.4683999999999999E-3</v>
      </c>
      <c r="S21" t="str">
        <f ca="1"/>
        <v>UNIT</v>
      </c>
      <c r="T21" s="87">
        <f ca="1"/>
        <v>2351.375</v>
      </c>
      <c r="U21" t="str">
        <f ca="1"/>
        <v>MVEDSY</v>
      </c>
      <c r="V21" s="87">
        <f ca="1"/>
        <v>4080</v>
      </c>
      <c r="W21" t="str">
        <f ca="1"/>
        <v>MVEENI</v>
      </c>
      <c r="X21">
        <f ca="1"/>
        <v>4</v>
      </c>
      <c r="Y21" t="str">
        <f ca="1"/>
        <v>MVEORA</v>
      </c>
      <c r="Z21">
        <f ca="1"/>
        <v>4</v>
      </c>
      <c r="AA21" t="str">
        <f ca="1"/>
        <v>MVERWE</v>
      </c>
      <c r="AB21">
        <f ca="1"/>
        <v>59</v>
      </c>
      <c r="AC21" t="str">
        <f ca="1"/>
        <v>BMRA</v>
      </c>
      <c r="AD21">
        <f ca="1"/>
        <v>60</v>
      </c>
      <c r="AE21" t="str">
        <f ca="1"/>
        <v>RIGL</v>
      </c>
      <c r="AF21" s="87">
        <f ca="1"/>
        <v>0</v>
      </c>
      <c r="AG21" t="str">
        <f ca="1"/>
        <v>SAFDDD</v>
      </c>
      <c r="AH21" s="87">
        <f ca="1"/>
        <v>6216.0000000000009</v>
      </c>
      <c r="AI21" t="str">
        <f ca="1"/>
        <v>DIS</v>
      </c>
      <c r="AJ21" s="87">
        <f ca="1"/>
        <v>6919.9999999999927</v>
      </c>
      <c r="AK21" s="90" t="str">
        <f ca="1"/>
        <v>MVEEOAN</v>
      </c>
      <c r="AL21" s="310">
        <f ca="1"/>
        <v>2.4683999999999999E-3</v>
      </c>
      <c r="AM21" t="str">
        <f ca="1"/>
        <v>RWE</v>
      </c>
      <c r="AN21" s="310">
        <f ca="1"/>
        <v>0.5111806838209374</v>
      </c>
      <c r="AO21" t="str">
        <f ca="1"/>
        <v>AVGO</v>
      </c>
      <c r="AP21" s="310">
        <f ca="1"/>
        <v>-0.22325425732976376</v>
      </c>
      <c r="AQ21" s="87" t="str">
        <f ca="1"/>
        <v>EOAN</v>
      </c>
      <c r="AR21" s="90">
        <f ca="1"/>
        <v>0.72942643391522632</v>
      </c>
      <c r="AS21" s="94" t="str">
        <f ca="1"/>
        <v>BLDP</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EZJ</v>
      </c>
      <c r="F22" s="559">
        <f ca="1"/>
        <v>1.0236134740717646</v>
      </c>
      <c r="G22" s="153" t="str">
        <f ca="1"/>
        <v>SAFAAPL</v>
      </c>
      <c r="H22" s="560">
        <f ca="1"/>
        <v>126353.78999999998</v>
      </c>
      <c r="I22" t="str">
        <f ca="1"/>
        <v>RIG</v>
      </c>
      <c r="J22" s="561">
        <f ca="1"/>
        <v>1.5384999999999999E-2</v>
      </c>
      <c r="K22" s="153" t="str">
        <f ca="1"/>
        <v>RIG</v>
      </c>
      <c r="L22" s="561">
        <f ca="1"/>
        <v>1.5384999999999999E-2</v>
      </c>
      <c r="M22" s="1" t="str">
        <f ca="1"/>
        <v>PAAS</v>
      </c>
      <c r="N22" s="560">
        <f ca="1"/>
        <v>21869.600000000006</v>
      </c>
      <c r="O22" t="str">
        <f ca="1"/>
        <v>ORA</v>
      </c>
      <c r="P22" s="560">
        <f ca="1"/>
        <v>4258.8980000000001</v>
      </c>
      <c r="Q22" t="str">
        <f ca="1"/>
        <v>JBEOAN</v>
      </c>
      <c r="R22" s="650">
        <f ca="1"/>
        <v>2.4683999999999999E-3</v>
      </c>
      <c r="S22" t="str">
        <f ca="1"/>
        <v>SAFAMZN</v>
      </c>
      <c r="T22" s="87">
        <f ca="1"/>
        <v>2340</v>
      </c>
      <c r="U22" t="str">
        <f ca="1"/>
        <v>UNIT</v>
      </c>
      <c r="V22" s="87">
        <f ca="1"/>
        <v>3364.2749999999942</v>
      </c>
      <c r="W22" t="str">
        <f ca="1"/>
        <v>ENI</v>
      </c>
      <c r="X22">
        <f ca="1"/>
        <v>4</v>
      </c>
      <c r="Y22" t="str">
        <f ca="1"/>
        <v>BLNK</v>
      </c>
      <c r="Z22">
        <f ca="1"/>
        <v>4</v>
      </c>
      <c r="AA22" t="str">
        <f ca="1"/>
        <v>UN0</v>
      </c>
      <c r="AB22">
        <f ca="1"/>
        <v>58</v>
      </c>
      <c r="AC22" t="str">
        <f ca="1"/>
        <v>GS</v>
      </c>
      <c r="AD22">
        <f ca="1"/>
        <v>60</v>
      </c>
      <c r="AE22" t="str">
        <f ca="1"/>
        <v>RWE</v>
      </c>
      <c r="AF22" s="87">
        <f ca="1"/>
        <v>0</v>
      </c>
      <c r="AG22" t="str">
        <f ca="1"/>
        <v>WBA</v>
      </c>
      <c r="AH22" s="87">
        <f ca="1"/>
        <v>5760.2999999999993</v>
      </c>
      <c r="AI22" t="str">
        <f ca="1"/>
        <v>MVEDDD</v>
      </c>
      <c r="AJ22" s="87">
        <f ca="1"/>
        <v>6475</v>
      </c>
      <c r="AK22" s="90" t="str">
        <f ca="1"/>
        <v>JBEOAN</v>
      </c>
      <c r="AL22" s="310">
        <f ca="1"/>
        <v>2.4683999999999999E-3</v>
      </c>
      <c r="AM22" t="str">
        <f ca="1"/>
        <v>MSFT</v>
      </c>
      <c r="AN22" s="310">
        <f ca="1"/>
        <v>0.48872104379890141</v>
      </c>
      <c r="AO22" t="str">
        <f ca="1"/>
        <v>TSLA</v>
      </c>
      <c r="AP22" s="310">
        <f ca="1"/>
        <v>-0.22007319954421781</v>
      </c>
      <c r="AQ22" s="87" t="str">
        <f ca="1"/>
        <v>RWE</v>
      </c>
      <c r="AR22" s="90">
        <f ca="1"/>
        <v>0.70153900588502538</v>
      </c>
      <c r="AS22" s="94" t="str">
        <f ca="1"/>
        <v>C</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LOCK</v>
      </c>
      <c r="F23" s="559">
        <f ca="1"/>
        <v>1</v>
      </c>
      <c r="G23" s="153" t="str">
        <f ca="1"/>
        <v>VONN</v>
      </c>
      <c r="H23" s="560">
        <f ca="1"/>
        <v>120504.30999999994</v>
      </c>
      <c r="I23" t="str">
        <f ca="1"/>
        <v>DVA</v>
      </c>
      <c r="J23" s="561">
        <f ca="1"/>
        <v>1.477E-2</v>
      </c>
      <c r="K23" s="153" t="str">
        <f ca="1"/>
        <v>DVA</v>
      </c>
      <c r="L23" s="561">
        <f ca="1"/>
        <v>1.477E-2</v>
      </c>
      <c r="M23" s="1" t="str">
        <f ca="1"/>
        <v>RIG</v>
      </c>
      <c r="N23" s="560">
        <f ca="1"/>
        <v>19560.520833333339</v>
      </c>
      <c r="O23" t="str">
        <f ca="1"/>
        <v>NEM</v>
      </c>
      <c r="P23" s="560">
        <f ca="1"/>
        <v>3750.2239999999906</v>
      </c>
      <c r="Q23" t="str">
        <f ca="1"/>
        <v>MVEORA</v>
      </c>
      <c r="R23" s="650">
        <f ca="1"/>
        <v>1.9276964285714288E-3</v>
      </c>
      <c r="S23" t="str">
        <f ca="1"/>
        <v>GNRC</v>
      </c>
      <c r="T23" s="87">
        <f ca="1"/>
        <v>2106</v>
      </c>
      <c r="U23" t="str">
        <f ca="1"/>
        <v>AET</v>
      </c>
      <c r="V23" s="87">
        <f ca="1"/>
        <v>3280</v>
      </c>
      <c r="W23" t="str">
        <f ca="1"/>
        <v>MVEGLE</v>
      </c>
      <c r="X23">
        <f ca="1"/>
        <v>5</v>
      </c>
      <c r="Y23" t="str">
        <f ca="1"/>
        <v>F</v>
      </c>
      <c r="Z23">
        <f ca="1"/>
        <v>4</v>
      </c>
      <c r="AA23" t="str">
        <f ca="1"/>
        <v>THC</v>
      </c>
      <c r="AB23">
        <f ca="1"/>
        <v>58</v>
      </c>
      <c r="AC23" t="str">
        <f ca="1"/>
        <v>AVGO</v>
      </c>
      <c r="AD23">
        <f ca="1"/>
        <v>59</v>
      </c>
      <c r="AE23" t="str">
        <f ca="1"/>
        <v>SSYS</v>
      </c>
      <c r="AF23" s="87">
        <f ca="1"/>
        <v>0</v>
      </c>
      <c r="AG23" t="str">
        <f ca="1"/>
        <v>EZJ</v>
      </c>
      <c r="AH23" s="87">
        <f ca="1"/>
        <v>4077.9999999999973</v>
      </c>
      <c r="AI23" t="str">
        <f ca="1"/>
        <v>UN0</v>
      </c>
      <c r="AJ23" s="87">
        <f ca="1"/>
        <v>5529.5694999999987</v>
      </c>
      <c r="AK23" s="90" t="str">
        <f ca="1"/>
        <v>MVEORA</v>
      </c>
      <c r="AL23" s="310">
        <f ca="1"/>
        <v>1.9276964285714288E-3</v>
      </c>
      <c r="AM23" t="str">
        <f ca="1"/>
        <v>IAG</v>
      </c>
      <c r="AN23" s="310">
        <f ca="1"/>
        <v>0.460102572764433</v>
      </c>
      <c r="AO23" t="str">
        <f ca="1"/>
        <v>THC</v>
      </c>
      <c r="AP23" s="310">
        <f ca="1"/>
        <v>-0.21917225381792735</v>
      </c>
      <c r="AQ23" s="87" t="str">
        <f ca="1"/>
        <v>HPE</v>
      </c>
      <c r="AR23" s="90">
        <f ca="1"/>
        <v>0.68051259390189978</v>
      </c>
      <c r="AS23" s="94" t="str">
        <f ca="1"/>
        <v>CSCO</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DSY</v>
      </c>
      <c r="F24" s="559">
        <f ca="1"/>
        <v>0.97018179551316519</v>
      </c>
      <c r="G24" s="153" t="str">
        <f ca="1"/>
        <v>MVEORA</v>
      </c>
      <c r="H24" s="560">
        <f ca="1"/>
        <v>102094.04999999999</v>
      </c>
      <c r="I24" t="str">
        <f ca="1"/>
        <v>PROF</v>
      </c>
      <c r="J24" s="561">
        <f ca="1"/>
        <v>1.2821000000000001E-2</v>
      </c>
      <c r="K24" s="153" t="str">
        <f ca="1"/>
        <v>PROF</v>
      </c>
      <c r="L24" s="561">
        <f ca="1"/>
        <v>1.2821000000000001E-2</v>
      </c>
      <c r="M24" s="1" t="str">
        <f ca="1"/>
        <v>ENI</v>
      </c>
      <c r="N24" s="560">
        <f ca="1"/>
        <v>17704.5</v>
      </c>
      <c r="O24" t="str">
        <f ca="1"/>
        <v>LUMN</v>
      </c>
      <c r="P24" s="560">
        <f ca="1"/>
        <v>3638.6648099999993</v>
      </c>
      <c r="Q24" t="str">
        <f ca="1"/>
        <v>ORA</v>
      </c>
      <c r="R24" s="650">
        <f ca="1"/>
        <v>1.9276964285714288E-3</v>
      </c>
      <c r="S24" t="str">
        <f ca="1"/>
        <v>BLDP</v>
      </c>
      <c r="T24" s="87">
        <f ca="1"/>
        <v>1500</v>
      </c>
      <c r="U24" t="str">
        <f ca="1"/>
        <v>GNRC</v>
      </c>
      <c r="V24" s="87">
        <f ca="1"/>
        <v>3204</v>
      </c>
      <c r="W24" t="str">
        <f ca="1"/>
        <v>GLE</v>
      </c>
      <c r="X24">
        <f ca="1"/>
        <v>5</v>
      </c>
      <c r="Y24" t="str">
        <f ca="1"/>
        <v>ORA</v>
      </c>
      <c r="Z24">
        <f ca="1"/>
        <v>4</v>
      </c>
      <c r="AA24" t="str">
        <f ca="1"/>
        <v>C</v>
      </c>
      <c r="AB24">
        <f ca="1"/>
        <v>57</v>
      </c>
      <c r="AC24" t="str">
        <f ca="1"/>
        <v>C</v>
      </c>
      <c r="AD24">
        <f ca="1"/>
        <v>59</v>
      </c>
      <c r="AE24" t="str">
        <f ca="1"/>
        <v>TSLA</v>
      </c>
      <c r="AF24" s="87">
        <f ca="1"/>
        <v>0</v>
      </c>
      <c r="AG24" t="str">
        <f ca="1"/>
        <v>AAPL</v>
      </c>
      <c r="AH24" s="87">
        <f ca="1"/>
        <v>3895.4000000000005</v>
      </c>
      <c r="AI24" t="str">
        <f ca="1"/>
        <v>SAP</v>
      </c>
      <c r="AJ24" s="87">
        <f ca="1"/>
        <v>4430.0000000000009</v>
      </c>
      <c r="AK24" s="90" t="str">
        <f ca="1"/>
        <v>ORA</v>
      </c>
      <c r="AL24" s="310">
        <f ca="1"/>
        <v>1.9276964285714288E-3</v>
      </c>
      <c r="AM24" t="str">
        <f ca="1"/>
        <v>MVEEOAN</v>
      </c>
      <c r="AN24" s="310">
        <f ca="1"/>
        <v>0.45496229656419529</v>
      </c>
      <c r="AO24" t="str">
        <f ca="1"/>
        <v>AAPL</v>
      </c>
      <c r="AP24" s="310">
        <f ca="1"/>
        <v>-0.21147660761324322</v>
      </c>
      <c r="AQ24" s="87" t="str">
        <f ca="1"/>
        <v>AVGO</v>
      </c>
      <c r="AR24" s="90">
        <f ca="1"/>
        <v>0.61081411728216883</v>
      </c>
      <c r="AS24" s="94" t="str">
        <f ca="1"/>
        <v>CVS</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MVEDSY</v>
      </c>
      <c r="F25" s="559">
        <f ca="1"/>
        <v>0.97018179551316519</v>
      </c>
      <c r="G25" s="153" t="str">
        <f ca="1"/>
        <v>KR</v>
      </c>
      <c r="H25" s="560">
        <f ca="1"/>
        <v>100717.98999999999</v>
      </c>
      <c r="I25" t="str">
        <f ca="1"/>
        <v>NEM</v>
      </c>
      <c r="J25" s="561">
        <f ca="1"/>
        <v>9.9360000000000004E-3</v>
      </c>
      <c r="K25" s="153" t="str">
        <f ca="1"/>
        <v>NEM</v>
      </c>
      <c r="L25" s="561">
        <f ca="1"/>
        <v>9.9360000000000004E-3</v>
      </c>
      <c r="M25" s="1" t="str">
        <f ca="1"/>
        <v>AZN</v>
      </c>
      <c r="N25" s="560">
        <f ca="1"/>
        <v>7357.5000000000018</v>
      </c>
      <c r="O25" t="str">
        <f ca="1"/>
        <v>F</v>
      </c>
      <c r="P25" s="560">
        <f ca="1"/>
        <v>3545.757000000001</v>
      </c>
      <c r="Q25" t="str">
        <f ca="1"/>
        <v>PFE</v>
      </c>
      <c r="R25" s="650">
        <f ca="1"/>
        <v>1.7978476190476198E-3</v>
      </c>
      <c r="S25" t="str">
        <f ca="1"/>
        <v>LUV</v>
      </c>
      <c r="T25" s="87">
        <f ca="1"/>
        <v>1446</v>
      </c>
      <c r="U25" t="str">
        <f ca="1"/>
        <v>DVA</v>
      </c>
      <c r="V25" s="87">
        <f ca="1"/>
        <v>3087</v>
      </c>
      <c r="W25" t="str">
        <f ca="1"/>
        <v>RRC</v>
      </c>
      <c r="X25">
        <f ca="1"/>
        <v>5</v>
      </c>
      <c r="Y25" t="str">
        <f ca="1"/>
        <v>RRC</v>
      </c>
      <c r="Z25">
        <f ca="1"/>
        <v>4</v>
      </c>
      <c r="AA25" t="str">
        <f ca="1"/>
        <v>BMRA</v>
      </c>
      <c r="AB25">
        <f ca="1"/>
        <v>56</v>
      </c>
      <c r="AC25" t="str">
        <f ca="1"/>
        <v>PFE</v>
      </c>
      <c r="AD25">
        <f ca="1"/>
        <v>59</v>
      </c>
      <c r="AE25" t="str">
        <f ca="1"/>
        <v>VLVLY</v>
      </c>
      <c r="AF25" s="87">
        <f ca="1"/>
        <v>0</v>
      </c>
      <c r="AG25" t="str">
        <f ca="1"/>
        <v>BLDP</v>
      </c>
      <c r="AH25" s="87">
        <f ca="1"/>
        <v>3809.9999999999986</v>
      </c>
      <c r="AI25" t="str">
        <f ca="1"/>
        <v>MA</v>
      </c>
      <c r="AJ25" s="87">
        <f ca="1"/>
        <v>4138</v>
      </c>
      <c r="AK25" s="90" t="str">
        <f ca="1"/>
        <v>PFE</v>
      </c>
      <c r="AL25" s="310">
        <f ca="1"/>
        <v>1.7978476190476198E-3</v>
      </c>
      <c r="AM25" t="str">
        <f ca="1"/>
        <v>CVS</v>
      </c>
      <c r="AN25" s="310">
        <f ca="1"/>
        <v>0.40538916565681687</v>
      </c>
      <c r="AO25" t="str">
        <f ca="1"/>
        <v>LNSR</v>
      </c>
      <c r="AP25" s="310">
        <f ca="1"/>
        <v>-0.20673922859830665</v>
      </c>
      <c r="AQ25" s="87" t="str">
        <f ca="1"/>
        <v>F</v>
      </c>
      <c r="AR25" s="90">
        <f ca="1"/>
        <v>0.59068346855019715</v>
      </c>
      <c r="AS25" s="94" t="str">
        <f ca="1"/>
        <v>DIS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TSM</v>
      </c>
      <c r="F26" s="559">
        <f ca="1"/>
        <v>0.9367792081917965</v>
      </c>
      <c r="G26" s="153" t="str">
        <f ca="1"/>
        <v>VLVLY</v>
      </c>
      <c r="H26" s="560">
        <f ca="1"/>
        <v>94145.87</v>
      </c>
      <c r="I26" t="str">
        <f ca="1"/>
        <v>POET</v>
      </c>
      <c r="J26" s="561">
        <f ca="1"/>
        <v>9.3799999999999994E-3</v>
      </c>
      <c r="K26" s="153" t="str">
        <f ca="1"/>
        <v>POET</v>
      </c>
      <c r="L26" s="561">
        <f ca="1"/>
        <v>9.3799999999999994E-3</v>
      </c>
      <c r="M26" s="1" t="str">
        <f ca="1"/>
        <v>RIGL</v>
      </c>
      <c r="N26" s="560">
        <f ca="1"/>
        <v>6836.5033333333331</v>
      </c>
      <c r="O26" t="str">
        <f ca="1"/>
        <v>MVEENI</v>
      </c>
      <c r="P26" s="560">
        <f ca="1"/>
        <v>3239.5552000000043</v>
      </c>
      <c r="Q26" t="str">
        <f ca="1"/>
        <v>RRC</v>
      </c>
      <c r="R26" s="650">
        <f ca="1"/>
        <v>1.7726190476190476E-3</v>
      </c>
      <c r="S26" t="str">
        <f ca="1"/>
        <v>NEM</v>
      </c>
      <c r="T26" s="87">
        <f ca="1"/>
        <v>1400</v>
      </c>
      <c r="U26" t="str">
        <f ca="1"/>
        <v>XYZ</v>
      </c>
      <c r="V26" s="87">
        <f ca="1"/>
        <v>2832</v>
      </c>
      <c r="W26" t="str">
        <f ca="1"/>
        <v>AVGO</v>
      </c>
      <c r="X26">
        <f ca="1"/>
        <v>6</v>
      </c>
      <c r="Y26" t="str">
        <f ca="1"/>
        <v>EPIX</v>
      </c>
      <c r="Z26">
        <f ca="1"/>
        <v>5</v>
      </c>
      <c r="AA26" t="str">
        <f ca="1"/>
        <v>XPER</v>
      </c>
      <c r="AB26">
        <f ca="1"/>
        <v>56</v>
      </c>
      <c r="AC26" t="str">
        <f ca="1"/>
        <v>GM</v>
      </c>
      <c r="AD26">
        <f ca="1"/>
        <v>57</v>
      </c>
      <c r="AE26" t="str">
        <f ca="1"/>
        <v>VONN</v>
      </c>
      <c r="AF26" s="87">
        <f ca="1"/>
        <v>0</v>
      </c>
      <c r="AG26" t="str">
        <f ca="1"/>
        <v>CSCO</v>
      </c>
      <c r="AH26" s="87">
        <f ca="1"/>
        <v>3724.9999999999945</v>
      </c>
      <c r="AI26" t="str">
        <f ca="1"/>
        <v>SAFDIS</v>
      </c>
      <c r="AJ26" s="87">
        <f ca="1"/>
        <v>4039.1999999999985</v>
      </c>
      <c r="AK26" s="90" t="str">
        <f ca="1"/>
        <v>RRC</v>
      </c>
      <c r="AL26" s="310">
        <f ca="1"/>
        <v>1.7726190476190476E-3</v>
      </c>
      <c r="AM26" t="str">
        <f ca="1"/>
        <v>TSM</v>
      </c>
      <c r="AN26" s="310">
        <f ca="1"/>
        <v>0.40050561813415186</v>
      </c>
      <c r="AO26" t="str">
        <f ca="1"/>
        <v>GS</v>
      </c>
      <c r="AP26" s="310">
        <f ca="1"/>
        <v>-0.19799571276683797</v>
      </c>
      <c r="AQ26" s="87" t="str">
        <f ca="1"/>
        <v>MVEEOAN</v>
      </c>
      <c r="AR26" s="90">
        <f ca="1"/>
        <v>0.56625303984535758</v>
      </c>
      <c r="AS26" s="94" t="str">
        <f ca="1"/>
        <v>DSY</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UNIT</v>
      </c>
      <c r="F27" s="559">
        <f ca="1"/>
        <v>0.91417887555869204</v>
      </c>
      <c r="G27" s="153" t="str">
        <f ca="1"/>
        <v>TSLA</v>
      </c>
      <c r="H27" s="560">
        <f ca="1"/>
        <v>87655.79</v>
      </c>
      <c r="I27" t="str">
        <f ca="1"/>
        <v>AZN</v>
      </c>
      <c r="J27" s="561">
        <f ca="1"/>
        <v>9.3710000000000009E-3</v>
      </c>
      <c r="K27" s="153" t="str">
        <f ca="1"/>
        <v>AZN</v>
      </c>
      <c r="L27" s="561">
        <f ca="1"/>
        <v>9.3710000000000009E-3</v>
      </c>
      <c r="M27" s="1" t="str">
        <f ca="1"/>
        <v>WBA</v>
      </c>
      <c r="N27" s="560">
        <f ca="1"/>
        <v>5760.2999999999993</v>
      </c>
      <c r="O27" t="str">
        <f ca="1"/>
        <v>WBA</v>
      </c>
      <c r="P27" s="560">
        <f ca="1"/>
        <v>2908.0194400000046</v>
      </c>
      <c r="Q27" t="str">
        <f ca="1"/>
        <v>EOAN</v>
      </c>
      <c r="R27" s="650">
        <f ca="1"/>
        <v>1.7654285714285712E-3</v>
      </c>
      <c r="S27" t="str">
        <f ca="1"/>
        <v>LAZR</v>
      </c>
      <c r="T27" s="87">
        <f ca="1"/>
        <v>1319.0300000000025</v>
      </c>
      <c r="U27" t="str">
        <f ca="1"/>
        <v>LUV</v>
      </c>
      <c r="V27" s="87">
        <f ca="1"/>
        <v>2718</v>
      </c>
      <c r="W27" t="str">
        <f ca="1"/>
        <v>BMRA</v>
      </c>
      <c r="X27">
        <f ca="1"/>
        <v>6</v>
      </c>
      <c r="Y27" t="str">
        <f ca="1"/>
        <v>SAFGM</v>
      </c>
      <c r="Z27">
        <f ca="1"/>
        <v>5</v>
      </c>
      <c r="AA27" t="str">
        <f ca="1"/>
        <v>GS</v>
      </c>
      <c r="AB27">
        <f ca="1"/>
        <v>56</v>
      </c>
      <c r="AC27" t="str">
        <f ca="1"/>
        <v>LNSR</v>
      </c>
      <c r="AD27">
        <f ca="1"/>
        <v>57</v>
      </c>
      <c r="AE27" t="str">
        <f ca="1"/>
        <v>VTRS</v>
      </c>
      <c r="AF27" s="87">
        <f ca="1"/>
        <v>0</v>
      </c>
      <c r="AG27" t="str">
        <f ca="1"/>
        <v>AVGO</v>
      </c>
      <c r="AH27" s="87">
        <f ca="1"/>
        <v>3308.5499999999993</v>
      </c>
      <c r="AI27" t="str">
        <f ca="1"/>
        <v>ASML</v>
      </c>
      <c r="AJ27" s="87">
        <f ca="1"/>
        <v>3945.0000000000045</v>
      </c>
      <c r="AK27" s="90" t="str">
        <f ca="1"/>
        <v>EOAN</v>
      </c>
      <c r="AL27" s="310">
        <f ca="1"/>
        <v>1.7654285714285712E-3</v>
      </c>
      <c r="AM27" t="str">
        <f ca="1"/>
        <v>SAFAAPL</v>
      </c>
      <c r="AN27" s="310">
        <f ca="1"/>
        <v>0.34007626555106779</v>
      </c>
      <c r="AO27" t="str">
        <f ca="1"/>
        <v>RIGL</v>
      </c>
      <c r="AP27" s="310">
        <f ca="1"/>
        <v>-0.19621380156707255</v>
      </c>
      <c r="AQ27" s="87" t="str">
        <f ca="1"/>
        <v>MVERWE</v>
      </c>
      <c r="AR27" s="90">
        <f ca="1"/>
        <v>0.56489615033201668</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NVAX</v>
      </c>
      <c r="F28" s="559">
        <f ca="1"/>
        <v>0.9044910655758166</v>
      </c>
      <c r="G28" s="153" t="str">
        <f ca="1"/>
        <v>MVEGLE</v>
      </c>
      <c r="H28" s="560">
        <f ca="1"/>
        <v>85889.049999999988</v>
      </c>
      <c r="I28" t="str">
        <f ca="1"/>
        <v>MRNA</v>
      </c>
      <c r="J28" s="561">
        <f ca="1"/>
        <v>8.0149999999999996E-3</v>
      </c>
      <c r="K28" s="153" t="str">
        <f ca="1"/>
        <v>MRNA</v>
      </c>
      <c r="L28" s="561">
        <f ca="1"/>
        <v>8.0149999999999996E-3</v>
      </c>
      <c r="M28" s="1" t="str">
        <f ca="1"/>
        <v>ADEA</v>
      </c>
      <c r="N28" s="560">
        <f ca="1"/>
        <v>4851.1000000000058</v>
      </c>
      <c r="O28" t="str">
        <f ca="1"/>
        <v>CSCO</v>
      </c>
      <c r="P28" s="560">
        <f ca="1"/>
        <v>1580.8789999999935</v>
      </c>
      <c r="Q28" t="str">
        <f ca="1"/>
        <v>MVEEPIX</v>
      </c>
      <c r="R28" s="650">
        <f ca="1"/>
        <v>1.7654285714285712E-3</v>
      </c>
      <c r="S28" t="str">
        <f ca="1"/>
        <v>HPE</v>
      </c>
      <c r="T28" s="87">
        <f ca="1"/>
        <v>1196</v>
      </c>
      <c r="U28" t="str">
        <f ca="1"/>
        <v>NEE</v>
      </c>
      <c r="V28" s="87">
        <f ca="1"/>
        <v>1589.93</v>
      </c>
      <c r="W28" t="str">
        <f ca="1"/>
        <v>PAAS</v>
      </c>
      <c r="X28">
        <f ca="1"/>
        <v>6</v>
      </c>
      <c r="Y28" t="str">
        <f ca="1"/>
        <v>PAAS</v>
      </c>
      <c r="Z28">
        <f ca="1"/>
        <v>6</v>
      </c>
      <c r="AA28" t="str">
        <f ca="1"/>
        <v>ASML</v>
      </c>
      <c r="AB28">
        <f ca="1"/>
        <v>55</v>
      </c>
      <c r="AC28" t="str">
        <f ca="1"/>
        <v>RRC</v>
      </c>
      <c r="AD28">
        <f ca="1"/>
        <v>57</v>
      </c>
      <c r="AE28" t="str">
        <f ca="1"/>
        <v>MVEDDD</v>
      </c>
      <c r="AF28" s="87">
        <f ca="1"/>
        <v>0</v>
      </c>
      <c r="AG28" t="str">
        <f ca="1"/>
        <v>VTRS</v>
      </c>
      <c r="AH28" s="87">
        <f ca="1"/>
        <v>3074.9999999999923</v>
      </c>
      <c r="AI28" t="str">
        <f ca="1"/>
        <v>MSFT</v>
      </c>
      <c r="AJ28" s="87">
        <f ca="1"/>
        <v>3943.4999999999945</v>
      </c>
      <c r="AK28" s="90" t="str">
        <f ca="1"/>
        <v>MVEEPIX</v>
      </c>
      <c r="AL28" s="310">
        <f ca="1"/>
        <v>1.7654285714285712E-3</v>
      </c>
      <c r="AM28" t="str">
        <f ca="1"/>
        <v>NEM</v>
      </c>
      <c r="AN28" s="310">
        <f ca="1"/>
        <v>0.33512896414703658</v>
      </c>
      <c r="AO28" t="str">
        <f ca="1"/>
        <v>NVS</v>
      </c>
      <c r="AP28" s="310">
        <f ca="1"/>
        <v>-0.18796575721629108</v>
      </c>
      <c r="AQ28" s="87" t="str">
        <f ca="1"/>
        <v>VTRS</v>
      </c>
      <c r="AR28" s="90">
        <f ca="1"/>
        <v>0.54427454643787654</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C</v>
      </c>
      <c r="F29" s="559">
        <f ca="1"/>
        <v>0.88466405030695294</v>
      </c>
      <c r="G29" s="153" t="str">
        <f ca="1"/>
        <v>MVEENI</v>
      </c>
      <c r="H29" s="560">
        <f ca="1"/>
        <v>74682.777999999933</v>
      </c>
      <c r="I29" t="str">
        <f ca="1"/>
        <v>SAFMRNA</v>
      </c>
      <c r="J29" s="561">
        <f ca="1"/>
        <v>8.0149999999999996E-3</v>
      </c>
      <c r="K29" s="153" t="str">
        <f ca="1"/>
        <v>SAFMRNA</v>
      </c>
      <c r="L29" s="561">
        <f ca="1"/>
        <v>8.0149999999999996E-3</v>
      </c>
      <c r="M29" s="1" t="str">
        <f ca="1"/>
        <v>VLVLY</v>
      </c>
      <c r="N29" s="560">
        <f ca="1"/>
        <v>4024.4999999999995</v>
      </c>
      <c r="O29" t="str">
        <f ca="1"/>
        <v>SAFAAPL</v>
      </c>
      <c r="P29" s="560">
        <f ca="1"/>
        <v>1196.4311700000019</v>
      </c>
      <c r="Q29" t="str">
        <f ca="1"/>
        <v>BMRA</v>
      </c>
      <c r="R29" s="650">
        <f ca="1"/>
        <v>1.4236309523809518E-3</v>
      </c>
      <c r="S29" t="str">
        <f ca="1"/>
        <v>ADEA</v>
      </c>
      <c r="T29" s="87">
        <f ca="1"/>
        <v>1175</v>
      </c>
      <c r="U29" t="str">
        <f ca="1"/>
        <v>BLDP</v>
      </c>
      <c r="V29" s="87">
        <f ca="1"/>
        <v>1400</v>
      </c>
      <c r="W29" t="str">
        <f ca="1"/>
        <v>AAPL</v>
      </c>
      <c r="X29">
        <f ca="1"/>
        <v>7</v>
      </c>
      <c r="Y29" t="str">
        <f ca="1"/>
        <v>PROF</v>
      </c>
      <c r="Z29">
        <f ca="1"/>
        <v>6</v>
      </c>
      <c r="AA29" t="str">
        <f ca="1"/>
        <v>HPE</v>
      </c>
      <c r="AB29">
        <f ca="1"/>
        <v>55</v>
      </c>
      <c r="AC29" t="str">
        <f ca="1"/>
        <v>ALDNE</v>
      </c>
      <c r="AD29">
        <f ca="1"/>
        <v>56</v>
      </c>
      <c r="AE29" t="str">
        <f ca="1"/>
        <v>MVEEOAN</v>
      </c>
      <c r="AF29" s="87">
        <f ca="1"/>
        <v>0</v>
      </c>
      <c r="AG29" t="str">
        <f ca="1"/>
        <v>PROF</v>
      </c>
      <c r="AH29" s="87">
        <f ca="1"/>
        <v>2939.9999999999977</v>
      </c>
      <c r="AI29" t="str">
        <f ca="1"/>
        <v>BLNK</v>
      </c>
      <c r="AJ29" s="87">
        <f ca="1"/>
        <v>3841.199999999998</v>
      </c>
      <c r="AK29" s="90" t="str">
        <f ca="1"/>
        <v>BMRA</v>
      </c>
      <c r="AL29" s="310">
        <f ca="1"/>
        <v>1.4236309523809518E-3</v>
      </c>
      <c r="AM29" t="str">
        <f ca="1"/>
        <v>SAFASML</v>
      </c>
      <c r="AN29" s="310">
        <f ca="1"/>
        <v>0.32987967643748189</v>
      </c>
      <c r="AO29" t="str">
        <f ca="1"/>
        <v>SAFIAG</v>
      </c>
      <c r="AP29" s="310">
        <f ca="1"/>
        <v>-0.17813249590387759</v>
      </c>
      <c r="AQ29" s="87" t="str">
        <f ca="1"/>
        <v>AZN</v>
      </c>
      <c r="AR29" s="90">
        <f ca="1"/>
        <v>0.54178939617083954</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DVA</v>
      </c>
      <c r="F30" s="559">
        <f ca="1"/>
        <v>0.87413345869595827</v>
      </c>
      <c r="G30" s="153" t="str">
        <f ca="1"/>
        <v>PAAS</v>
      </c>
      <c r="H30" s="560">
        <f ca="1"/>
        <v>71637.149999999994</v>
      </c>
      <c r="I30" t="str">
        <f ca="1"/>
        <v>AET</v>
      </c>
      <c r="J30" s="561">
        <f ca="1"/>
        <v>6.757E-3</v>
      </c>
      <c r="K30" s="153" t="str">
        <f ca="1"/>
        <v>AET</v>
      </c>
      <c r="L30" s="561">
        <f ca="1"/>
        <v>6.757E-3</v>
      </c>
      <c r="M30" s="1" t="str">
        <f ca="1"/>
        <v>CSCO</v>
      </c>
      <c r="N30" s="560">
        <f ca="1"/>
        <v>3724.9999999999945</v>
      </c>
      <c r="O30" t="str">
        <f ca="1"/>
        <v>CVS</v>
      </c>
      <c r="P30" s="560">
        <f ca="1"/>
        <v>1031.9050530000002</v>
      </c>
      <c r="Q30" t="str">
        <f ca="1"/>
        <v>XOM</v>
      </c>
      <c r="R30" s="650">
        <f ca="1"/>
        <v>1.2934964285714282E-3</v>
      </c>
      <c r="S30" t="str">
        <f ca="1"/>
        <v>VLVLY</v>
      </c>
      <c r="T30" s="87">
        <f ca="1"/>
        <v>1129.5</v>
      </c>
      <c r="U30" t="str">
        <f ca="1"/>
        <v>DSY</v>
      </c>
      <c r="V30" s="87">
        <f ca="1"/>
        <v>1360</v>
      </c>
      <c r="W30" t="str">
        <f ca="1"/>
        <v>C</v>
      </c>
      <c r="X30">
        <f ca="1"/>
        <v>7</v>
      </c>
      <c r="Y30" t="str">
        <f ca="1"/>
        <v>SHECY</v>
      </c>
      <c r="Z30">
        <f ca="1"/>
        <v>6</v>
      </c>
      <c r="AA30" t="str">
        <f ca="1"/>
        <v>LNSR</v>
      </c>
      <c r="AB30">
        <f ca="1"/>
        <v>55</v>
      </c>
      <c r="AC30" t="str">
        <f ca="1"/>
        <v>DVA</v>
      </c>
      <c r="AD30">
        <f ca="1"/>
        <v>56</v>
      </c>
      <c r="AE30" t="str">
        <f ca="1"/>
        <v>MVERWE</v>
      </c>
      <c r="AF30" s="87">
        <f ca="1"/>
        <v>0</v>
      </c>
      <c r="AG30" t="str">
        <f ca="1"/>
        <v>KR</v>
      </c>
      <c r="AH30" s="87">
        <f ca="1"/>
        <v>2430.0000000000068</v>
      </c>
      <c r="AI30" t="str">
        <f ca="1"/>
        <v>RIGL</v>
      </c>
      <c r="AJ30" s="87">
        <f ca="1"/>
        <v>3799.9999999999973</v>
      </c>
      <c r="AK30" s="90" t="str">
        <f ca="1"/>
        <v>XOM</v>
      </c>
      <c r="AL30" s="310">
        <f ca="1"/>
        <v>1.2934964285714282E-3</v>
      </c>
      <c r="AM30" t="str">
        <f ca="1"/>
        <v>ASML</v>
      </c>
      <c r="AN30" s="310">
        <f ca="1"/>
        <v>0.31988079594746249</v>
      </c>
      <c r="AO30" t="str">
        <f ca="1"/>
        <v>AZN</v>
      </c>
      <c r="AP30" s="310">
        <f ca="1"/>
        <v>-0.17662873869079299</v>
      </c>
      <c r="AQ30" s="87" t="str">
        <f ca="1"/>
        <v>ENI</v>
      </c>
      <c r="AR30" s="90">
        <f ca="1"/>
        <v>0.52471075854686255</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DIS</v>
      </c>
      <c r="F31" s="559">
        <f ca="1"/>
        <v>0.86820077434090825</v>
      </c>
      <c r="G31" s="153" t="str">
        <f ca="1"/>
        <v>AVGO</v>
      </c>
      <c r="H31" s="560">
        <f ca="1"/>
        <v>71513.375207999969</v>
      </c>
      <c r="I31" t="str">
        <f ca="1"/>
        <v>AMZN</v>
      </c>
      <c r="J31" s="561">
        <f ca="1"/>
        <v>6.2539999999999991E-3</v>
      </c>
      <c r="K31" s="153" t="str">
        <f ca="1"/>
        <v>AMZN</v>
      </c>
      <c r="L31" s="561">
        <f ca="1"/>
        <v>6.2539999999999991E-3</v>
      </c>
      <c r="M31" s="1" t="str">
        <f ca="1"/>
        <v>EZJ</v>
      </c>
      <c r="N31" s="560">
        <f ca="1"/>
        <v>3127.9999999999859</v>
      </c>
      <c r="O31" t="str">
        <f ca="1"/>
        <v>BLDP</v>
      </c>
      <c r="P31" s="560">
        <f ca="1"/>
        <v>807.29556000000002</v>
      </c>
      <c r="Q31" t="str">
        <f ca="1"/>
        <v>TSM</v>
      </c>
      <c r="R31" s="650">
        <f ca="1"/>
        <v>7.5879761904761988E-4</v>
      </c>
      <c r="S31" t="str">
        <f ca="1"/>
        <v>XOM</v>
      </c>
      <c r="T31" s="87">
        <f ca="1"/>
        <v>1110</v>
      </c>
      <c r="U31" t="str">
        <f ca="1"/>
        <v>XOM</v>
      </c>
      <c r="V31" s="87">
        <f ca="1"/>
        <v>1335</v>
      </c>
      <c r="W31" t="str">
        <f ca="1"/>
        <v>SAFAAPL</v>
      </c>
      <c r="X31">
        <f ca="1"/>
        <v>7</v>
      </c>
      <c r="Y31" t="str">
        <f ca="1"/>
        <v>LUMN</v>
      </c>
      <c r="Z31">
        <f ca="1"/>
        <v>7</v>
      </c>
      <c r="AA31" t="str">
        <f ca="1"/>
        <v>SAFASML</v>
      </c>
      <c r="AB31">
        <f ca="1"/>
        <v>55</v>
      </c>
      <c r="AC31" t="str">
        <f ca="1"/>
        <v>VONN</v>
      </c>
      <c r="AD31">
        <f ca="1"/>
        <v>56</v>
      </c>
      <c r="AE31" t="str">
        <f ca="1"/>
        <v>MVESAP</v>
      </c>
      <c r="AF31" s="87">
        <f ca="1"/>
        <v>0</v>
      </c>
      <c r="AG31" t="str">
        <f ca="1"/>
        <v>LUV</v>
      </c>
      <c r="AH31" s="87">
        <f ca="1"/>
        <v>2001.1200000000044</v>
      </c>
      <c r="AI31" t="str">
        <f ca="1"/>
        <v>ADEA</v>
      </c>
      <c r="AJ31" s="87">
        <f ca="1"/>
        <v>2814.9999999999995</v>
      </c>
      <c r="AK31" s="90" t="str">
        <f ca="1"/>
        <v>TSM</v>
      </c>
      <c r="AL31" s="310">
        <f ca="1"/>
        <v>7.5879761904761988E-4</v>
      </c>
      <c r="AM31" t="str">
        <f ca="1"/>
        <v>MVERWE</v>
      </c>
      <c r="AN31" s="310">
        <f ca="1"/>
        <v>0.29579939567910557</v>
      </c>
      <c r="AO31" t="str">
        <f ca="1"/>
        <v>AMZN</v>
      </c>
      <c r="AP31" s="310">
        <f ca="1"/>
        <v>-0.17188947906444221</v>
      </c>
      <c r="AQ31" s="87" t="str">
        <f ca="1"/>
        <v>CVS</v>
      </c>
      <c r="AR31" s="90">
        <f ca="1"/>
        <v>0.51521314444476096</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SAFDIS</v>
      </c>
      <c r="F32" s="559">
        <f ca="1"/>
        <v>0.86820077434090825</v>
      </c>
      <c r="G32" s="153" t="str">
        <f ca="1"/>
        <v>NEE</v>
      </c>
      <c r="H32" s="560">
        <f ca="1"/>
        <v>66717.861999999979</v>
      </c>
      <c r="I32" t="str">
        <f ca="1"/>
        <v>SAFAMZN</v>
      </c>
      <c r="J32" s="561">
        <f ca="1"/>
        <v>6.2539999999999991E-3</v>
      </c>
      <c r="K32" s="153" t="str">
        <f ca="1"/>
        <v>SAFAMZN</v>
      </c>
      <c r="L32" s="561">
        <f ca="1"/>
        <v>6.2539999999999991E-3</v>
      </c>
      <c r="M32" s="1" t="str">
        <f ca="1"/>
        <v>VTRS</v>
      </c>
      <c r="N32" s="560">
        <f ca="1"/>
        <v>3074.9999999999923</v>
      </c>
      <c r="O32" t="str">
        <f ca="1"/>
        <v>NEE</v>
      </c>
      <c r="P32" s="560">
        <f ca="1"/>
        <v>732.25118399999565</v>
      </c>
      <c r="Q32" t="str">
        <f ca="1"/>
        <v>MVEUN0</v>
      </c>
      <c r="R32" s="650">
        <f ca="1"/>
        <v>7.5879761904761988E-4</v>
      </c>
      <c r="S32" t="str">
        <f ca="1"/>
        <v>HPQ</v>
      </c>
      <c r="T32" s="87">
        <f ca="1"/>
        <v>925</v>
      </c>
      <c r="U32" t="str">
        <f ca="1"/>
        <v>NVAX</v>
      </c>
      <c r="V32" s="87">
        <f ca="1"/>
        <v>1163.5</v>
      </c>
      <c r="W32" t="str">
        <f ca="1"/>
        <v>AET</v>
      </c>
      <c r="X32">
        <f ca="1"/>
        <v>8</v>
      </c>
      <c r="Y32" t="str">
        <f ca="1"/>
        <v>SAFMRNA</v>
      </c>
      <c r="Z32">
        <f ca="1"/>
        <v>7</v>
      </c>
      <c r="AA32" t="str">
        <f ca="1"/>
        <v>JBASML</v>
      </c>
      <c r="AB32">
        <f ca="1"/>
        <v>55</v>
      </c>
      <c r="AC32" t="str">
        <f ca="1"/>
        <v>MVEALDNE</v>
      </c>
      <c r="AD32">
        <f ca="1"/>
        <v>56</v>
      </c>
      <c r="AE32" t="str">
        <f ca="1"/>
        <v>SAFAAPL</v>
      </c>
      <c r="AF32" s="87">
        <f ca="1"/>
        <v>0</v>
      </c>
      <c r="AG32" t="str">
        <f ca="1"/>
        <v>HPE</v>
      </c>
      <c r="AH32" s="87">
        <f ca="1"/>
        <v>1385.9999999999993</v>
      </c>
      <c r="AI32" t="str">
        <f ca="1"/>
        <v>IAG</v>
      </c>
      <c r="AJ32" s="87">
        <f ca="1"/>
        <v>2762.0000000000005</v>
      </c>
      <c r="AK32" s="90" t="str">
        <f ca="1"/>
        <v>MVEUN0</v>
      </c>
      <c r="AL32" s="310">
        <f ca="1"/>
        <v>7.5879761904761988E-4</v>
      </c>
      <c r="AM32" t="str">
        <f ca="1"/>
        <v>AVGO</v>
      </c>
      <c r="AN32" s="310">
        <f ca="1"/>
        <v>0.28239142682252238</v>
      </c>
      <c r="AO32" t="str">
        <f ca="1"/>
        <v>JBASML</v>
      </c>
      <c r="AP32" s="310">
        <f ca="1"/>
        <v>-0.17147919154800179</v>
      </c>
      <c r="AQ32" s="87" t="str">
        <f ca="1"/>
        <v>MVEENI</v>
      </c>
      <c r="AR32" s="90">
        <f ca="1"/>
        <v>0.51276742581090395</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KR</v>
      </c>
      <c r="F33" s="559">
        <f ca="1"/>
        <v>0.85989897177837271</v>
      </c>
      <c r="G33" s="153" t="str">
        <f ca="1"/>
        <v>SAFGM</v>
      </c>
      <c r="H33" s="560">
        <f ca="1"/>
        <v>62342.085000000006</v>
      </c>
      <c r="I33" t="str">
        <f ca="1"/>
        <v>GNRC</v>
      </c>
      <c r="J33" s="561">
        <f ca="1"/>
        <v>5.3969999999999999E-3</v>
      </c>
      <c r="K33" s="153" t="str">
        <f ca="1"/>
        <v>GNRC</v>
      </c>
      <c r="L33" s="561">
        <f ca="1"/>
        <v>5.3969999999999999E-3</v>
      </c>
      <c r="M33" s="1" t="str">
        <f ca="1"/>
        <v>PROF</v>
      </c>
      <c r="N33" s="560">
        <f ca="1"/>
        <v>2939.9999999999977</v>
      </c>
      <c r="O33" t="str">
        <f ca="1"/>
        <v>PROF</v>
      </c>
      <c r="P33" s="560">
        <f ca="1"/>
        <v>628.36199999999894</v>
      </c>
      <c r="Q33" t="str">
        <f ca="1"/>
        <v>ALDNE</v>
      </c>
      <c r="R33" s="650">
        <f ca="1"/>
        <v>7.1864880952380965E-4</v>
      </c>
      <c r="S33" t="str">
        <f ca="1"/>
        <v>SAFDDD</v>
      </c>
      <c r="T33" s="87">
        <f ca="1"/>
        <v>549.9999999999709</v>
      </c>
      <c r="U33" t="str">
        <f ca="1"/>
        <v>VLVLY</v>
      </c>
      <c r="V33" s="87">
        <f ca="1"/>
        <v>1084.5</v>
      </c>
      <c r="W33" t="str">
        <f ca="1"/>
        <v>GS</v>
      </c>
      <c r="X33">
        <f ca="1"/>
        <v>8</v>
      </c>
      <c r="Y33" t="str">
        <f ca="1"/>
        <v>RIG</v>
      </c>
      <c r="Z33">
        <f ca="1"/>
        <v>7</v>
      </c>
      <c r="AA33" t="str">
        <f ca="1"/>
        <v>ADEA</v>
      </c>
      <c r="AB33">
        <f ca="1"/>
        <v>54</v>
      </c>
      <c r="AC33" t="str">
        <f ca="1"/>
        <v>MVEORA</v>
      </c>
      <c r="AD33">
        <f ca="1"/>
        <v>56</v>
      </c>
      <c r="AE33" t="str">
        <f ca="1"/>
        <v>SAFAMZN</v>
      </c>
      <c r="AF33" s="87">
        <f ca="1"/>
        <v>0</v>
      </c>
      <c r="AG33" t="str">
        <f ca="1"/>
        <v>NFLX</v>
      </c>
      <c r="AH33" s="87">
        <f ca="1"/>
        <v>1184.9999999999454</v>
      </c>
      <c r="AI33" t="str">
        <f ca="1"/>
        <v>HPQ</v>
      </c>
      <c r="AJ33" s="87">
        <f ca="1"/>
        <v>2725.0000000000014</v>
      </c>
      <c r="AK33" s="90" t="str">
        <f ca="1"/>
        <v>ALDNE</v>
      </c>
      <c r="AL33" s="310">
        <f ca="1"/>
        <v>7.1864880952380965E-4</v>
      </c>
      <c r="AM33" t="str">
        <f ca="1"/>
        <v>TSLA</v>
      </c>
      <c r="AN33" s="310">
        <f ca="1"/>
        <v>0.27718893346408718</v>
      </c>
      <c r="AO33" t="str">
        <f ca="1"/>
        <v>SAFAMZN</v>
      </c>
      <c r="AP33" s="310">
        <f ca="1"/>
        <v>-0.16558658815832519</v>
      </c>
      <c r="AQ33" s="87" t="str">
        <f ca="1"/>
        <v>AMZN</v>
      </c>
      <c r="AR33" s="90">
        <f ca="1"/>
        <v>0.50467066186534126</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XOM</v>
      </c>
      <c r="F34" s="559">
        <f ca="1"/>
        <v>0.81372672061593609</v>
      </c>
      <c r="G34" s="153" t="str">
        <f ca="1"/>
        <v>SHECY</v>
      </c>
      <c r="H34" s="560">
        <f ca="1"/>
        <v>60894.219999999972</v>
      </c>
      <c r="I34" t="str">
        <f ca="1"/>
        <v>VLVLY</v>
      </c>
      <c r="J34" s="561">
        <f ca="1"/>
        <v>5.372E-3</v>
      </c>
      <c r="K34" s="153" t="str">
        <f ca="1"/>
        <v>VLVLY</v>
      </c>
      <c r="L34" s="561">
        <f ca="1"/>
        <v>5.372E-3</v>
      </c>
      <c r="M34" s="1" t="str">
        <f ca="1"/>
        <v>XOM</v>
      </c>
      <c r="N34" s="560">
        <f ca="1"/>
        <v>2229.9999999999968</v>
      </c>
      <c r="O34" t="str">
        <f ca="1"/>
        <v>MVEORA</v>
      </c>
      <c r="P34" s="560">
        <f ca="1"/>
        <v>502.68959999999987</v>
      </c>
      <c r="Q34" t="str">
        <f ca="1"/>
        <v>MVEALDNE</v>
      </c>
      <c r="R34" s="650">
        <f ca="1"/>
        <v>7.1864880952380965E-4</v>
      </c>
      <c r="S34" t="str">
        <f ca="1"/>
        <v>THC</v>
      </c>
      <c r="T34" s="87">
        <f ca="1"/>
        <v>502.5</v>
      </c>
      <c r="U34" t="str">
        <f ca="1"/>
        <v>HPE</v>
      </c>
      <c r="V34" s="87">
        <f ca="1"/>
        <v>1012</v>
      </c>
      <c r="W34" t="str">
        <f ca="1"/>
        <v>LUV</v>
      </c>
      <c r="X34">
        <f ca="1"/>
        <v>9</v>
      </c>
      <c r="Y34" t="str">
        <f ca="1"/>
        <v>DIS</v>
      </c>
      <c r="Z34">
        <f ca="1"/>
        <v>8</v>
      </c>
      <c r="AA34" t="str">
        <f ca="1"/>
        <v>EZJ</v>
      </c>
      <c r="AB34">
        <f ca="1"/>
        <v>54</v>
      </c>
      <c r="AC34" t="str">
        <f ca="1"/>
        <v>ORA</v>
      </c>
      <c r="AD34">
        <f ca="1"/>
        <v>56</v>
      </c>
      <c r="AE34" t="str">
        <f ca="1"/>
        <v>SAFASML</v>
      </c>
      <c r="AF34" s="87">
        <f ca="1"/>
        <v>0</v>
      </c>
      <c r="AG34" t="str">
        <f ca="1"/>
        <v>THC</v>
      </c>
      <c r="AH34" s="87">
        <f ca="1"/>
        <v>1081.4999999999968</v>
      </c>
      <c r="AI34" t="str">
        <f ca="1"/>
        <v>PW</v>
      </c>
      <c r="AJ34" s="87">
        <f ca="1"/>
        <v>2645.28</v>
      </c>
      <c r="AK34" s="90" t="str">
        <f ca="1"/>
        <v>MVEALDNE</v>
      </c>
      <c r="AL34" s="310">
        <f ca="1"/>
        <v>7.1864880952380965E-4</v>
      </c>
      <c r="AM34" t="str">
        <f ca="1"/>
        <v>AAPL</v>
      </c>
      <c r="AN34" s="310">
        <f ca="1"/>
        <v>0.26333885514991912</v>
      </c>
      <c r="AO34" t="str">
        <f ca="1"/>
        <v>WBA</v>
      </c>
      <c r="AP34" s="310">
        <f ca="1"/>
        <v>-0.16287545909849746</v>
      </c>
      <c r="AQ34" s="87" t="str">
        <f ca="1"/>
        <v>LNSR</v>
      </c>
      <c r="AR34" s="90">
        <f ca="1"/>
        <v>0.4792038150528718</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AVGO</v>
      </c>
      <c r="F35" s="559">
        <f ca="1"/>
        <v>0.80981317518787777</v>
      </c>
      <c r="G35" s="153" t="str">
        <f ca="1"/>
        <v>JBASML</v>
      </c>
      <c r="H35" s="560">
        <f ca="1"/>
        <v>60750</v>
      </c>
      <c r="I35" t="str">
        <f ca="1"/>
        <v>DSY</v>
      </c>
      <c r="J35" s="561">
        <f ca="1"/>
        <v>3.4389999999999998E-3</v>
      </c>
      <c r="K35" s="153" t="str">
        <f ca="1"/>
        <v>DSY</v>
      </c>
      <c r="L35" s="561">
        <f ca="1"/>
        <v>3.4389999999999998E-3</v>
      </c>
      <c r="M35" s="1" t="str">
        <f ca="1"/>
        <v>LUV</v>
      </c>
      <c r="N35" s="560">
        <f ca="1"/>
        <v>2001.1200000000044</v>
      </c>
      <c r="O35" t="str">
        <f ca="1"/>
        <v>ENI</v>
      </c>
      <c r="P35" s="560">
        <f ca="1"/>
        <v>359.06400000000474</v>
      </c>
      <c r="Q35" t="str">
        <f ca="1"/>
        <v>GS</v>
      </c>
      <c r="R35" s="650">
        <f ca="1"/>
        <v>6.1361904761904687E-4</v>
      </c>
      <c r="S35" t="str">
        <f ca="1"/>
        <v>PROF</v>
      </c>
      <c r="T35" s="87">
        <f ca="1"/>
        <v>460</v>
      </c>
      <c r="U35" t="str">
        <f ca="1"/>
        <v>MA</v>
      </c>
      <c r="V35" s="87">
        <f ca="1"/>
        <v>885.99999999998545</v>
      </c>
      <c r="W35" t="str">
        <f ca="1"/>
        <v>MSFT</v>
      </c>
      <c r="X35">
        <f ca="1"/>
        <v>10</v>
      </c>
      <c r="Y35" t="str">
        <f ca="1"/>
        <v>NEM</v>
      </c>
      <c r="Z35">
        <f ca="1"/>
        <v>8</v>
      </c>
      <c r="AA35" t="str">
        <f ca="1"/>
        <v>ALDNE</v>
      </c>
      <c r="AB35">
        <f ca="1"/>
        <v>52</v>
      </c>
      <c r="AC35" t="str">
        <f ca="1"/>
        <v>OXY</v>
      </c>
      <c r="AD35">
        <f ca="1"/>
        <v>56</v>
      </c>
      <c r="AE35" t="str">
        <f ca="1"/>
        <v>SAFDIS</v>
      </c>
      <c r="AF35" s="87">
        <f ca="1"/>
        <v>0</v>
      </c>
      <c r="AG35" t="str">
        <f ca="1"/>
        <v>EOAN</v>
      </c>
      <c r="AH35" s="87">
        <f ca="1"/>
        <v>939.25000000001853</v>
      </c>
      <c r="AI35" t="str">
        <f ca="1"/>
        <v>EZJ</v>
      </c>
      <c r="AJ35" s="87">
        <f ca="1"/>
        <v>2420.0000000000045</v>
      </c>
      <c r="AK35" s="90" t="str">
        <f ca="1"/>
        <v>GS</v>
      </c>
      <c r="AL35" s="310">
        <f ca="1"/>
        <v>6.1361904761904687E-4</v>
      </c>
      <c r="AM35" t="str">
        <f ca="1"/>
        <v>RIGL</v>
      </c>
      <c r="AN35" s="310">
        <f ca="1"/>
        <v>0.23947632791617088</v>
      </c>
      <c r="AO35" t="str">
        <f ca="1"/>
        <v>PAAS</v>
      </c>
      <c r="AP35" s="310">
        <f ca="1"/>
        <v>-0.16007165170406598</v>
      </c>
      <c r="AQ35" s="87" t="str">
        <f ca="1"/>
        <v>CSCO</v>
      </c>
      <c r="AR35" s="90">
        <f ca="1"/>
        <v>0.47512755102040738</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RIGL</v>
      </c>
      <c r="F36" s="559">
        <f ca="1"/>
        <v>0.80964531679843854</v>
      </c>
      <c r="G36" s="153" t="str">
        <f ca="1"/>
        <v>X</v>
      </c>
      <c r="H36" s="560">
        <f ca="1"/>
        <v>60208.109199999919</v>
      </c>
      <c r="I36" t="str">
        <f ca="1"/>
        <v>MVEDSY</v>
      </c>
      <c r="J36" s="561">
        <f ca="1"/>
        <v>3.4389999999999998E-3</v>
      </c>
      <c r="K36" s="153" t="str">
        <f ca="1"/>
        <v>MVEDSY</v>
      </c>
      <c r="L36" s="561">
        <f ca="1"/>
        <v>3.4389999999999998E-3</v>
      </c>
      <c r="M36" s="1" t="str">
        <f ca="1"/>
        <v>EOAN</v>
      </c>
      <c r="N36" s="560">
        <f ca="1"/>
        <v>1668.0000000000027</v>
      </c>
      <c r="O36" t="str">
        <f ca="1"/>
        <v>THC</v>
      </c>
      <c r="P36" s="560">
        <f ca="1"/>
        <v>304.20700000000681</v>
      </c>
      <c r="Q36" t="str">
        <f ca="1"/>
        <v>AAPL</v>
      </c>
      <c r="R36" s="650">
        <f ca="1"/>
        <v>6.0610535714285697E-4</v>
      </c>
      <c r="S36" t="str">
        <f ca="1"/>
        <v>SAFDIS</v>
      </c>
      <c r="T36" s="87">
        <f ca="1"/>
        <v>456</v>
      </c>
      <c r="U36" t="str">
        <f ca="1"/>
        <v>SAFAMZN</v>
      </c>
      <c r="V36" s="87">
        <f ca="1"/>
        <v>787.5</v>
      </c>
      <c r="W36" t="str">
        <f ca="1"/>
        <v>THC</v>
      </c>
      <c r="X36">
        <f ca="1"/>
        <v>10</v>
      </c>
      <c r="Y36" t="str">
        <f ca="1"/>
        <v>VONN</v>
      </c>
      <c r="Z36">
        <f ca="1"/>
        <v>8</v>
      </c>
      <c r="AA36" t="str">
        <f ca="1"/>
        <v>AVGO</v>
      </c>
      <c r="AB36">
        <f ca="1"/>
        <v>52</v>
      </c>
      <c r="AC36" t="str">
        <f ca="1"/>
        <v>DSY</v>
      </c>
      <c r="AD36">
        <f ca="1"/>
        <v>54</v>
      </c>
      <c r="AE36" t="str">
        <f ca="1"/>
        <v>SAFGM</v>
      </c>
      <c r="AF36" s="87">
        <f ca="1"/>
        <v>0</v>
      </c>
      <c r="AG36" t="str">
        <f ca="1"/>
        <v>RWE</v>
      </c>
      <c r="AH36" s="87">
        <f ca="1"/>
        <v>726.99999999999977</v>
      </c>
      <c r="AI36" t="str">
        <f ca="1"/>
        <v>PAAS</v>
      </c>
      <c r="AJ36" s="87">
        <f ca="1"/>
        <v>2290.2999999999984</v>
      </c>
      <c r="AK36" s="90" t="str">
        <f ca="1"/>
        <v>AAPL</v>
      </c>
      <c r="AL36" s="310">
        <f ca="1"/>
        <v>6.0610535714285697E-4</v>
      </c>
      <c r="AM36" t="str">
        <f ca="1"/>
        <v>AZN</v>
      </c>
      <c r="AN36" s="310">
        <f ca="1"/>
        <v>0.2101480670103093</v>
      </c>
      <c r="AO36" t="str">
        <f ca="1"/>
        <v>MVEENI</v>
      </c>
      <c r="AP36" s="310">
        <f ca="1"/>
        <v>-0.15973518565012415</v>
      </c>
      <c r="AQ36" s="87" t="str">
        <f ca="1"/>
        <v>JBEOAN</v>
      </c>
      <c r="AR36" s="90">
        <f ca="1"/>
        <v>0.47294810452705194</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MSFT</v>
      </c>
      <c r="F37" s="559">
        <f ca="1"/>
        <v>0.80134100862322255</v>
      </c>
      <c r="G37" s="153" t="str">
        <f ca="1"/>
        <v>MVESAP</v>
      </c>
      <c r="H37" s="560">
        <f ca="1"/>
        <v>50268.786999999931</v>
      </c>
      <c r="I37" t="str">
        <f ca="1"/>
        <v>ADEA</v>
      </c>
      <c r="J37" s="561">
        <f ca="1"/>
        <v>3.2140000000000003E-3</v>
      </c>
      <c r="K37" s="153" t="str">
        <f ca="1"/>
        <v>ADEA</v>
      </c>
      <c r="L37" s="561">
        <f ca="1"/>
        <v>3.2140000000000003E-3</v>
      </c>
      <c r="M37" s="1" t="str">
        <f ca="1"/>
        <v>RWE</v>
      </c>
      <c r="N37" s="560">
        <f ca="1"/>
        <v>726.99999999999977</v>
      </c>
      <c r="O37" t="str">
        <f ca="1"/>
        <v>C</v>
      </c>
      <c r="P37" s="560">
        <f ca="1"/>
        <v>297.99818499999964</v>
      </c>
      <c r="Q37" t="str">
        <f ca="1"/>
        <v>SAFAAPL</v>
      </c>
      <c r="R37" s="650">
        <f ca="1"/>
        <v>6.0610535714285697E-4</v>
      </c>
      <c r="S37" t="str">
        <f ca="1"/>
        <v>DDD</v>
      </c>
      <c r="T37" s="87">
        <f ca="1"/>
        <v>424.9999999999709</v>
      </c>
      <c r="U37" t="str">
        <f ca="1"/>
        <v>SAFDIS</v>
      </c>
      <c r="V37" s="87">
        <f ca="1"/>
        <v>750</v>
      </c>
      <c r="W37" t="str">
        <f ca="1"/>
        <v>AZN</v>
      </c>
      <c r="X37">
        <f ca="1"/>
        <v>11</v>
      </c>
      <c r="Y37" t="str">
        <f ca="1"/>
        <v>MVEDSY</v>
      </c>
      <c r="Z37">
        <f ca="1"/>
        <v>8</v>
      </c>
      <c r="AA37" t="str">
        <f ca="1"/>
        <v>CSCO</v>
      </c>
      <c r="AB37">
        <f ca="1"/>
        <v>52</v>
      </c>
      <c r="AC37" t="str">
        <f ca="1"/>
        <v>IAG</v>
      </c>
      <c r="AD37">
        <f ca="1"/>
        <v>53</v>
      </c>
      <c r="AE37" t="str">
        <f ca="1"/>
        <v>SAFIAG</v>
      </c>
      <c r="AF37" s="87">
        <f ca="1"/>
        <v>0</v>
      </c>
      <c r="AG37" t="str">
        <f ca="1"/>
        <v>SSYS</v>
      </c>
      <c r="AH37" s="87">
        <f ca="1"/>
        <v>630.0000000000025</v>
      </c>
      <c r="AI37" t="str">
        <f ca="1"/>
        <v>LUV</v>
      </c>
      <c r="AJ37" s="87">
        <f ca="1"/>
        <v>1537.829999999994</v>
      </c>
      <c r="AK37" s="90" t="str">
        <f ca="1"/>
        <v>SAFAAPL</v>
      </c>
      <c r="AL37" s="310">
        <f ca="1"/>
        <v>6.0610535714285697E-4</v>
      </c>
      <c r="AM37" t="str">
        <f ca="1"/>
        <v>AMZN</v>
      </c>
      <c r="AN37" s="310">
        <f ca="1"/>
        <v>0.2032589237327995</v>
      </c>
      <c r="AO37" t="str">
        <f ca="1"/>
        <v>NEE</v>
      </c>
      <c r="AP37" s="310">
        <f ca="1"/>
        <v>-0.15442841954366252</v>
      </c>
      <c r="AQ37" s="87" t="str">
        <f ca="1"/>
        <v>SAFGM</v>
      </c>
      <c r="AR37" s="90">
        <f ca="1"/>
        <v>0.45181532944867769</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GS</v>
      </c>
      <c r="F38" s="559">
        <f ca="1"/>
        <v>0.79592194313113518</v>
      </c>
      <c r="G38" s="153" t="str">
        <f ca="1"/>
        <v>MA</v>
      </c>
      <c r="H38" s="560">
        <f ca="1"/>
        <v>47609.758999999976</v>
      </c>
      <c r="I38" t="str">
        <f ca="1"/>
        <v>THC</v>
      </c>
      <c r="J38" s="561">
        <f ca="1"/>
        <v>3.2079999999999999E-3</v>
      </c>
      <c r="K38" s="153" t="str">
        <f ca="1"/>
        <v>THC</v>
      </c>
      <c r="L38" s="561">
        <f ca="1"/>
        <v>3.2079999999999999E-3</v>
      </c>
      <c r="M38" s="1" t="str">
        <f ca="1"/>
        <v>HPQ</v>
      </c>
      <c r="N38" s="560">
        <f ca="1"/>
        <v>585.00000000000443</v>
      </c>
      <c r="O38" t="str">
        <f ca="1"/>
        <v>AVGO</v>
      </c>
      <c r="P38" s="560">
        <f ca="1"/>
        <v>206.66128000000253</v>
      </c>
      <c r="Q38" t="str">
        <f ca="1"/>
        <v>GM</v>
      </c>
      <c r="R38" s="650">
        <f ca="1"/>
        <v>3.2261904761905378E-6</v>
      </c>
      <c r="S38" t="str">
        <f ca="1"/>
        <v>DIS</v>
      </c>
      <c r="T38" s="87">
        <f ca="1"/>
        <v>380</v>
      </c>
      <c r="U38" t="str">
        <f ca="1"/>
        <v>AZN</v>
      </c>
      <c r="V38" s="87">
        <f ca="1"/>
        <v>737.5</v>
      </c>
      <c r="W38" t="str">
        <f ca="1"/>
        <v>OXY</v>
      </c>
      <c r="X38">
        <f ca="1"/>
        <v>11</v>
      </c>
      <c r="Y38" t="str">
        <f ca="1"/>
        <v>GNRC</v>
      </c>
      <c r="Z38">
        <f ca="1"/>
        <v>8</v>
      </c>
      <c r="AA38" t="str">
        <f ca="1"/>
        <v>IAG</v>
      </c>
      <c r="AB38">
        <f ca="1"/>
        <v>52</v>
      </c>
      <c r="AC38" t="str">
        <f ca="1"/>
        <v>PAAS</v>
      </c>
      <c r="AD38">
        <f ca="1"/>
        <v>53</v>
      </c>
      <c r="AE38" t="str">
        <f ca="1"/>
        <v>F</v>
      </c>
      <c r="AF38" s="87">
        <f ca="1"/>
        <v>0</v>
      </c>
      <c r="AG38" t="str">
        <f ca="1"/>
        <v>POET</v>
      </c>
      <c r="AH38" s="87">
        <f ca="1"/>
        <v>624.75000000000057</v>
      </c>
      <c r="AI38" t="str">
        <f ca="1"/>
        <v>AET</v>
      </c>
      <c r="AJ38" s="87">
        <f ca="1"/>
        <v>1461.9999999999991</v>
      </c>
      <c r="AK38" s="90" t="str">
        <f ca="1"/>
        <v>GM</v>
      </c>
      <c r="AL38" s="310">
        <f ca="1"/>
        <v>3.2261904761905378E-6</v>
      </c>
      <c r="AM38" t="str">
        <f ca="1"/>
        <v>JBASML</v>
      </c>
      <c r="AN38" s="310">
        <f ca="1"/>
        <v>0.20266621162295845</v>
      </c>
      <c r="AO38" t="str">
        <f ca="1"/>
        <v>MVEORA</v>
      </c>
      <c r="AP38" s="310">
        <f ca="1"/>
        <v>-0.14733360502305076</v>
      </c>
      <c r="AQ38" s="87" t="str">
        <f ca="1"/>
        <v>GM</v>
      </c>
      <c r="AR38" s="90">
        <f ca="1"/>
        <v>0.40477556254925934</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XPER</v>
      </c>
      <c r="F39" s="559">
        <f ca="1"/>
        <v>0.78591379491869373</v>
      </c>
      <c r="G39" s="153" t="str">
        <f ca="1"/>
        <v>HPQ</v>
      </c>
      <c r="H39" s="560">
        <f ca="1"/>
        <v>47119.208000000042</v>
      </c>
      <c r="I39" t="str">
        <f ca="1"/>
        <v>CVS</v>
      </c>
      <c r="J39" s="561">
        <f ca="1"/>
        <v>2.2880000000000001E-3</v>
      </c>
      <c r="K39" s="153" t="str">
        <f ca="1"/>
        <v>CVS</v>
      </c>
      <c r="L39" s="561">
        <f ca="1"/>
        <v>2.2880000000000001E-3</v>
      </c>
      <c r="M39" s="1" t="str">
        <f ca="1"/>
        <v>ORA</v>
      </c>
      <c r="N39" s="560">
        <f ca="1"/>
        <v>503.99999999999989</v>
      </c>
      <c r="O39" t="str">
        <f ca="1"/>
        <v>RIG</v>
      </c>
      <c r="P39" s="560">
        <f ca="1"/>
        <v>24.934999999999466</v>
      </c>
      <c r="Q39" t="str">
        <f ca="1"/>
        <v>WBA</v>
      </c>
      <c r="R39" s="650">
        <f ca="1"/>
        <v>0</v>
      </c>
      <c r="S39" t="str">
        <f ca="1"/>
        <v>BMRA</v>
      </c>
      <c r="T39" s="87">
        <f ca="1"/>
        <v>343.74999999999636</v>
      </c>
      <c r="U39" t="str">
        <f ca="1"/>
        <v>BMRA</v>
      </c>
      <c r="V39" s="87">
        <f ca="1"/>
        <v>718.74999999999636</v>
      </c>
      <c r="W39" t="str">
        <f ca="1"/>
        <v>DXC</v>
      </c>
      <c r="X39">
        <f ca="1"/>
        <v>12</v>
      </c>
      <c r="Y39" t="str">
        <f ca="1"/>
        <v>DDD</v>
      </c>
      <c r="Z39">
        <f ca="1"/>
        <v>9</v>
      </c>
      <c r="AA39" t="str">
        <f ca="1"/>
        <v>MVEALDNE</v>
      </c>
      <c r="AB39">
        <f ca="1"/>
        <v>52</v>
      </c>
      <c r="AC39" t="str">
        <f ca="1"/>
        <v>AET</v>
      </c>
      <c r="AD39">
        <f ca="1"/>
        <v>52</v>
      </c>
      <c r="AE39" t="str">
        <f ca="1"/>
        <v>GLE</v>
      </c>
      <c r="AF39" s="87">
        <f ca="1"/>
        <v>0</v>
      </c>
      <c r="AG39" t="str">
        <f ca="1"/>
        <v>MVEGLE</v>
      </c>
      <c r="AH39" s="87">
        <f ca="1"/>
        <v>619.9999999999975</v>
      </c>
      <c r="AI39" t="str">
        <f ca="1"/>
        <v>VLVLY</v>
      </c>
      <c r="AJ39" s="87">
        <f ca="1"/>
        <v>1331.7499999999995</v>
      </c>
      <c r="AK39" s="90" t="str">
        <f ca="1"/>
        <v>WBA</v>
      </c>
      <c r="AL39" s="310">
        <f ca="1"/>
        <v>0</v>
      </c>
      <c r="AM39" t="str">
        <f ca="1"/>
        <v>SAFAMZN</v>
      </c>
      <c r="AN39" s="310">
        <f ca="1"/>
        <v>0.19421770395701035</v>
      </c>
      <c r="AO39" t="str">
        <f ca="1"/>
        <v>HPE</v>
      </c>
      <c r="AP39" s="310">
        <f ca="1"/>
        <v>-0.13140048309178737</v>
      </c>
      <c r="AQ39" s="87" t="str">
        <f ca="1"/>
        <v>TSLA</v>
      </c>
      <c r="AR39" s="90">
        <f ca="1"/>
        <v>0.37331395975458359</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LUMN</v>
      </c>
      <c r="F40" s="559">
        <f ca="1"/>
        <v>0.77531527078625462</v>
      </c>
      <c r="G40" s="153" t="str">
        <f ca="1"/>
        <v>GS</v>
      </c>
      <c r="H40" s="560">
        <f ca="1"/>
        <v>45917.739000000023</v>
      </c>
      <c r="I40" t="str">
        <f ca="1"/>
        <v>DIS</v>
      </c>
      <c r="J40" s="561">
        <f ca="1"/>
        <v>2.1719999999999999E-3</v>
      </c>
      <c r="K40" s="153" t="str">
        <f ca="1"/>
        <v>DIS</v>
      </c>
      <c r="L40" s="561">
        <f ca="1"/>
        <v>2.1719999999999999E-3</v>
      </c>
      <c r="M40" s="1" t="str">
        <f ca="1"/>
        <v>GM</v>
      </c>
      <c r="N40" s="560">
        <f ca="1"/>
        <v>239.83999999999995</v>
      </c>
      <c r="O40" t="str">
        <f ca="1"/>
        <v>VTRS</v>
      </c>
      <c r="P40" s="560">
        <f ca="1"/>
        <v>24.934999999995039</v>
      </c>
      <c r="Q40" t="str">
        <f ca="1"/>
        <v>X</v>
      </c>
      <c r="R40" s="650">
        <f ca="1"/>
        <v>0</v>
      </c>
      <c r="S40" t="str">
        <f ca="1"/>
        <v>UN0</v>
      </c>
      <c r="T40" s="87">
        <f ca="1"/>
        <v>300</v>
      </c>
      <c r="U40" t="str">
        <f ca="1"/>
        <v>ADEA</v>
      </c>
      <c r="V40" s="87">
        <f ca="1"/>
        <v>625</v>
      </c>
      <c r="W40" t="str">
        <f ca="1"/>
        <v>VLVLY</v>
      </c>
      <c r="X40">
        <f ca="1"/>
        <v>12</v>
      </c>
      <c r="Y40" t="str">
        <f ca="1"/>
        <v>SAFDIS</v>
      </c>
      <c r="Z40">
        <f ca="1"/>
        <v>9</v>
      </c>
      <c r="AA40" t="str">
        <f ca="1"/>
        <v>DSY</v>
      </c>
      <c r="AB40">
        <f ca="1"/>
        <v>51</v>
      </c>
      <c r="AC40" t="str">
        <f ca="1"/>
        <v>RIGL</v>
      </c>
      <c r="AD40">
        <f ca="1"/>
        <v>52</v>
      </c>
      <c r="AE40" t="str">
        <f ca="1"/>
        <v>GS</v>
      </c>
      <c r="AF40" s="87">
        <f ca="1"/>
        <v>0</v>
      </c>
      <c r="AG40" t="str">
        <f ca="1"/>
        <v>ORA</v>
      </c>
      <c r="AH40" s="87">
        <f ca="1"/>
        <v>503.99999999999989</v>
      </c>
      <c r="AI40" t="str">
        <f ca="1"/>
        <v>HPE</v>
      </c>
      <c r="AJ40" s="87">
        <f ca="1"/>
        <v>1296.0000000000043</v>
      </c>
      <c r="AK40" s="90" t="str">
        <f ca="1"/>
        <v>X</v>
      </c>
      <c r="AL40" s="310">
        <f ca="1"/>
        <v>0</v>
      </c>
      <c r="AM40" t="str">
        <f ca="1"/>
        <v>WBA</v>
      </c>
      <c r="AN40" s="310">
        <f ca="1"/>
        <v>0.19037045497470151</v>
      </c>
      <c r="AO40" t="str">
        <f ca="1"/>
        <v>PROF</v>
      </c>
      <c r="AP40" s="310">
        <f ca="1"/>
        <v>-0.12665063291139231</v>
      </c>
      <c r="AQ40" s="87" t="str">
        <f ca="1"/>
        <v>GS</v>
      </c>
      <c r="AR40" s="90">
        <f ca="1"/>
        <v>0.35679439719572764</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MRNA</v>
      </c>
      <c r="F41" s="559">
        <f ca="1"/>
        <v>0.77200431078922915</v>
      </c>
      <c r="G41" s="153" t="str">
        <f ca="1"/>
        <v>GLE</v>
      </c>
      <c r="H41" s="560">
        <f ca="1"/>
        <v>43473.079999999994</v>
      </c>
      <c r="I41" t="str">
        <f ca="1"/>
        <v>SAFDIS</v>
      </c>
      <c r="J41" s="561">
        <f ca="1"/>
        <v>2.1719999999999999E-3</v>
      </c>
      <c r="K41" s="153" t="str">
        <f ca="1"/>
        <v>SAFDIS</v>
      </c>
      <c r="L41" s="561">
        <f ca="1"/>
        <v>2.1719999999999999E-3</v>
      </c>
      <c r="M41" s="1" t="str">
        <f ca="1"/>
        <v>X</v>
      </c>
      <c r="N41" s="560">
        <f ca="1"/>
        <v>238.82794000000007</v>
      </c>
      <c r="O41" t="str">
        <f ca="1"/>
        <v>TSLA</v>
      </c>
      <c r="P41" s="560">
        <f ca="1"/>
        <v>22.351733999999571</v>
      </c>
      <c r="Q41" t="str">
        <f ca="1"/>
        <v>DDD</v>
      </c>
      <c r="R41" s="650">
        <f ca="1"/>
        <v>-2.3191666666666108E-5</v>
      </c>
      <c r="S41" t="str">
        <f ca="1"/>
        <v>ORA</v>
      </c>
      <c r="T41" s="87">
        <f ca="1"/>
        <v>258</v>
      </c>
      <c r="U41" t="str">
        <f ca="1"/>
        <v>DIS</v>
      </c>
      <c r="V41" s="87">
        <f ca="1"/>
        <v>625</v>
      </c>
      <c r="W41" t="str">
        <f ca="1"/>
        <v>MVEEOAN</v>
      </c>
      <c r="X41">
        <f ca="1"/>
        <v>12</v>
      </c>
      <c r="Y41" t="str">
        <f ca="1"/>
        <v>ADEA</v>
      </c>
      <c r="Z41">
        <f ca="1"/>
        <v>10</v>
      </c>
      <c r="AA41" t="str">
        <f ca="1"/>
        <v>DXC</v>
      </c>
      <c r="AB41">
        <f ca="1"/>
        <v>51</v>
      </c>
      <c r="AC41" t="str">
        <f ca="1"/>
        <v>MVERWE</v>
      </c>
      <c r="AD41">
        <f ca="1"/>
        <v>52</v>
      </c>
      <c r="AE41" t="str">
        <f ca="1"/>
        <v>LUV</v>
      </c>
      <c r="AF41" s="87">
        <f ca="1"/>
        <v>0</v>
      </c>
      <c r="AG41" t="str">
        <f ca="1"/>
        <v>GM</v>
      </c>
      <c r="AH41" s="87">
        <f ca="1"/>
        <v>239.83999999999995</v>
      </c>
      <c r="AI41" t="str">
        <f ca="1"/>
        <v>SHECY</v>
      </c>
      <c r="AJ41" s="87">
        <f ca="1"/>
        <v>1169.1999999999998</v>
      </c>
      <c r="AK41" s="90" t="str">
        <f ca="1"/>
        <v>DDD</v>
      </c>
      <c r="AL41" s="310">
        <f ca="1"/>
        <v>-2.3191666666666108E-5</v>
      </c>
      <c r="AM41" t="str">
        <f ca="1"/>
        <v>PAAS</v>
      </c>
      <c r="AN41" s="310">
        <f ca="1"/>
        <v>0.18641773386890012</v>
      </c>
      <c r="AO41" t="str">
        <f ca="1"/>
        <v>RIG</v>
      </c>
      <c r="AP41" s="310">
        <f ca="1"/>
        <v>-0.11747268518518524</v>
      </c>
      <c r="AQ41" s="87" t="str">
        <f ca="1"/>
        <v>SAFAMZN</v>
      </c>
      <c r="AR41" s="90">
        <f ca="1"/>
        <v>0.35474008041102467</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SAFMRNA</v>
      </c>
      <c r="F42" s="559">
        <f ca="1"/>
        <v>0.77200431078922915</v>
      </c>
      <c r="G42" s="153" t="str">
        <f ca="1"/>
        <v>ADEA</v>
      </c>
      <c r="H42" s="560">
        <f ca="1"/>
        <v>40641.09498200001</v>
      </c>
      <c r="I42" t="str">
        <f ca="1"/>
        <v>NFLX</v>
      </c>
      <c r="J42" s="561">
        <f ca="1"/>
        <v>2.0330000000000001E-3</v>
      </c>
      <c r="K42" s="153" t="str">
        <f ca="1"/>
        <v>NFLX</v>
      </c>
      <c r="L42" s="561">
        <f ca="1"/>
        <v>2.0330000000000001E-3</v>
      </c>
      <c r="M42" s="1" t="str">
        <f ca="1"/>
        <v>SAFDIS</v>
      </c>
      <c r="N42" s="560">
        <f ca="1"/>
        <v>227.89999999999395</v>
      </c>
      <c r="O42" t="str">
        <f ca="1"/>
        <v>KR</v>
      </c>
      <c r="P42" s="560">
        <f ca="1"/>
        <v>4.9869999999954642</v>
      </c>
      <c r="Q42" t="str">
        <f ca="1"/>
        <v>SAFDIS</v>
      </c>
      <c r="R42" s="650">
        <f ca="1"/>
        <v>-2.3191666666666108E-5</v>
      </c>
      <c r="S42" t="str">
        <f ca="1"/>
        <v>WBA</v>
      </c>
      <c r="T42" s="87">
        <f ca="1"/>
        <v>195</v>
      </c>
      <c r="U42" t="str">
        <f ca="1"/>
        <v>PW</v>
      </c>
      <c r="V42" s="87">
        <f ca="1"/>
        <v>616.00000000000091</v>
      </c>
      <c r="W42" t="str">
        <f ca="1"/>
        <v>JBEOAN</v>
      </c>
      <c r="X42">
        <f ca="1"/>
        <v>12</v>
      </c>
      <c r="Y42" t="str">
        <f ca="1"/>
        <v>AMZN</v>
      </c>
      <c r="Z42">
        <f ca="1"/>
        <v>10</v>
      </c>
      <c r="AA42" t="str">
        <f ca="1"/>
        <v>MSFT</v>
      </c>
      <c r="AB42">
        <f ca="1"/>
        <v>51</v>
      </c>
      <c r="AC42" t="str">
        <f ca="1"/>
        <v>ADEA</v>
      </c>
      <c r="AD42">
        <f ca="1"/>
        <v>51</v>
      </c>
      <c r="AE42" t="str">
        <f ca="1"/>
        <v>MA</v>
      </c>
      <c r="AF42" s="87">
        <f ca="1"/>
        <v>0</v>
      </c>
      <c r="AG42" t="str">
        <f ca="1"/>
        <v>X</v>
      </c>
      <c r="AH42" s="87">
        <f ca="1"/>
        <v>238.82794000000004</v>
      </c>
      <c r="AI42" t="str">
        <f ca="1"/>
        <v>AAPL</v>
      </c>
      <c r="AJ42" s="87">
        <f ca="1"/>
        <v>1021.5000000000032</v>
      </c>
      <c r="AK42" s="90" t="str">
        <f ca="1"/>
        <v>SAFDIS</v>
      </c>
      <c r="AL42" s="310">
        <f ca="1"/>
        <v>-2.3191666666666108E-5</v>
      </c>
      <c r="AM42" t="str">
        <f ca="1"/>
        <v>MVEENI</v>
      </c>
      <c r="AN42" s="310">
        <f ca="1"/>
        <v>0.18594516166666808</v>
      </c>
      <c r="AO42" t="str">
        <f ca="1"/>
        <v>JBEOAN</v>
      </c>
      <c r="AP42" s="310">
        <f ca="1"/>
        <v>-0.11237426265135061</v>
      </c>
      <c r="AQ42" s="87" t="str">
        <f ca="1"/>
        <v>NVS</v>
      </c>
      <c r="AR42" s="90">
        <f ca="1"/>
        <v>0.34209714865532836</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VONN</v>
      </c>
      <c r="F43" s="559">
        <f ca="1"/>
        <v>0.76176321138211378</v>
      </c>
      <c r="G43" s="153" t="str">
        <f ca="1"/>
        <v>C</v>
      </c>
      <c r="H43" s="560">
        <f ca="1"/>
        <v>40460.965000000004</v>
      </c>
      <c r="I43" t="str">
        <f ca="1"/>
        <v>HPQ</v>
      </c>
      <c r="J43" s="561">
        <f ca="1"/>
        <v>1.72E-3</v>
      </c>
      <c r="K43" s="153" t="str">
        <f ca="1"/>
        <v>HPQ</v>
      </c>
      <c r="L43" s="561">
        <f ca="1"/>
        <v>1.72E-3</v>
      </c>
      <c r="M43" s="1" t="str">
        <f ca="1"/>
        <v>C</v>
      </c>
      <c r="N43" s="560">
        <f ca="1"/>
        <v>147.84999999999897</v>
      </c>
      <c r="O43" t="str">
        <f ca="1"/>
        <v>ALDNE</v>
      </c>
      <c r="P43" s="560">
        <f ca="1"/>
        <v>0</v>
      </c>
      <c r="Q43" t="str">
        <f ca="1"/>
        <v>MA</v>
      </c>
      <c r="R43" s="650">
        <f ca="1"/>
        <v>-1.1203333333333315E-4</v>
      </c>
      <c r="S43" t="str">
        <f ca="1"/>
        <v>PW</v>
      </c>
      <c r="T43" s="87">
        <f ca="1"/>
        <v>93.000000000000909</v>
      </c>
      <c r="U43" t="str">
        <f ca="1"/>
        <v>MVEDDD</v>
      </c>
      <c r="V43" s="87">
        <f ca="1"/>
        <v>500</v>
      </c>
      <c r="W43" t="str">
        <f ca="1"/>
        <v>CSCO</v>
      </c>
      <c r="X43">
        <f ca="1"/>
        <v>13</v>
      </c>
      <c r="Y43" t="str">
        <f ca="1"/>
        <v>CVS</v>
      </c>
      <c r="Z43">
        <f ca="1"/>
        <v>10</v>
      </c>
      <c r="AA43" t="str">
        <f ca="1"/>
        <v>MVEEOAN</v>
      </c>
      <c r="AB43">
        <f ca="1"/>
        <v>51</v>
      </c>
      <c r="AC43" t="str">
        <f ca="1"/>
        <v>DDD</v>
      </c>
      <c r="AD43">
        <f ca="1"/>
        <v>51</v>
      </c>
      <c r="AE43" t="str">
        <f ca="1"/>
        <v>NVAX</v>
      </c>
      <c r="AF43" s="87">
        <f ca="1"/>
        <v>0</v>
      </c>
      <c r="AG43" t="str">
        <f ca="1"/>
        <v>TSLA</v>
      </c>
      <c r="AH43" s="87">
        <f ca="1"/>
        <v>93.519999999999982</v>
      </c>
      <c r="AI43" t="str">
        <f ca="1"/>
        <v>TSM</v>
      </c>
      <c r="AJ43" s="87">
        <f ca="1"/>
        <v>900</v>
      </c>
      <c r="AK43" s="90" t="str">
        <f ca="1"/>
        <v>MA</v>
      </c>
      <c r="AL43" s="310">
        <f ca="1"/>
        <v>-1.1203333333333315E-4</v>
      </c>
      <c r="AM43" t="str">
        <f ca="1"/>
        <v>NEE</v>
      </c>
      <c r="AN43" s="310">
        <f ca="1"/>
        <v>0.17854131067604728</v>
      </c>
      <c r="AO43" t="str">
        <f ca="1"/>
        <v>F</v>
      </c>
      <c r="AP43" s="310">
        <f ca="1"/>
        <v>-9.2338735327527496E-2</v>
      </c>
      <c r="AQ43" s="87" t="str">
        <f ca="1"/>
        <v>DDD</v>
      </c>
      <c r="AR43" s="90">
        <f ca="1"/>
        <v>0.33354903229601762</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AAPL</v>
      </c>
      <c r="F44" s="559">
        <f ca="1"/>
        <v>0.75361006056948199</v>
      </c>
      <c r="G44" s="153" t="str">
        <f ca="1"/>
        <v>BLDP</v>
      </c>
      <c r="H44" s="560">
        <f ca="1"/>
        <v>38016.18499999999</v>
      </c>
      <c r="I44" t="str">
        <f ca="1"/>
        <v>VONN</v>
      </c>
      <c r="J44" s="561">
        <f ca="1"/>
        <v>1.7180000000000001E-3</v>
      </c>
      <c r="K44" s="153" t="str">
        <f ca="1"/>
        <v>VONN</v>
      </c>
      <c r="L44" s="561">
        <f ca="1"/>
        <v>1.7180000000000001E-3</v>
      </c>
      <c r="M44" s="1" t="str">
        <f ca="1"/>
        <v>TSLA</v>
      </c>
      <c r="N44" s="560">
        <f ca="1"/>
        <v>93.519999999999982</v>
      </c>
      <c r="O44" t="str">
        <f ca="1"/>
        <v>BMRA</v>
      </c>
      <c r="P44" s="560">
        <f ca="1"/>
        <v>0</v>
      </c>
      <c r="Q44" t="str">
        <f ca="1"/>
        <v>SAP</v>
      </c>
      <c r="R44" s="650">
        <f ca="1"/>
        <v>-3.9141666666666708E-4</v>
      </c>
      <c r="S44" t="str">
        <f ca="1"/>
        <v>MVEUN0</v>
      </c>
      <c r="T44" s="87">
        <f ca="1"/>
        <v>56</v>
      </c>
      <c r="U44" t="str">
        <f ca="1"/>
        <v>VTRS</v>
      </c>
      <c r="V44" s="87">
        <f ca="1"/>
        <v>475.00000000001455</v>
      </c>
      <c r="W44" t="str">
        <f ca="1"/>
        <v>GM</v>
      </c>
      <c r="X44">
        <f ca="1"/>
        <v>13</v>
      </c>
      <c r="Y44" t="str">
        <f ca="1"/>
        <v>DXC</v>
      </c>
      <c r="Z44">
        <f ca="1"/>
        <v>10</v>
      </c>
      <c r="AA44" t="str">
        <f ca="1"/>
        <v>JBEOAN</v>
      </c>
      <c r="AB44">
        <f ca="1"/>
        <v>51</v>
      </c>
      <c r="AC44" t="str">
        <f ca="1"/>
        <v>LUMN</v>
      </c>
      <c r="AD44">
        <f ca="1"/>
        <v>51</v>
      </c>
      <c r="AE44" t="str">
        <f ca="1"/>
        <v>NVS</v>
      </c>
      <c r="AF44" s="87">
        <f ca="1"/>
        <v>0</v>
      </c>
      <c r="AG44" t="str">
        <f ca="1"/>
        <v>LUMN</v>
      </c>
      <c r="AH44" s="87">
        <f ca="1"/>
        <v>54.166999999999994</v>
      </c>
      <c r="AI44" t="str">
        <f ca="1"/>
        <v>AZN</v>
      </c>
      <c r="AJ44" s="87">
        <f ca="1"/>
        <v>832.49999999999602</v>
      </c>
      <c r="AK44" s="90" t="str">
        <f ca="1"/>
        <v>SAP</v>
      </c>
      <c r="AL44" s="310">
        <f ca="1"/>
        <v>-3.9141666666666708E-4</v>
      </c>
      <c r="AM44" t="str">
        <f ca="1"/>
        <v>MVEORA</v>
      </c>
      <c r="AN44" s="310">
        <f ca="1"/>
        <v>0.16878635533655156</v>
      </c>
      <c r="AO44" t="str">
        <f ca="1"/>
        <v>ADEA</v>
      </c>
      <c r="AP44" s="310">
        <f ca="1"/>
        <v>-7.1679387682449358E-2</v>
      </c>
      <c r="AQ44" s="87" t="str">
        <f ca="1"/>
        <v>EZJ</v>
      </c>
      <c r="AR44" s="90">
        <f ca="1"/>
        <v>0.3321524614368927</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SAFAAPL</v>
      </c>
      <c r="F45" s="559">
        <f ca="1"/>
        <v>0.75361006056948199</v>
      </c>
      <c r="G45" s="153" t="str">
        <f ca="1"/>
        <v>MVERWE</v>
      </c>
      <c r="H45" s="560">
        <f ca="1"/>
        <v>37558.049999999988</v>
      </c>
      <c r="I45" t="str">
        <f ca="1"/>
        <v>EOAN</v>
      </c>
      <c r="J45" s="561">
        <f ca="1"/>
        <v>1.555E-3</v>
      </c>
      <c r="K45" s="153" t="str">
        <f ca="1"/>
        <v>EOAN</v>
      </c>
      <c r="L45" s="561">
        <f ca="1"/>
        <v>1.555E-3</v>
      </c>
      <c r="M45" s="1" t="str">
        <f ca="1"/>
        <v>LUMN</v>
      </c>
      <c r="N45" s="560">
        <f ca="1"/>
        <v>54.166999999999994</v>
      </c>
      <c r="O45" t="str">
        <f ca="1"/>
        <v>NOTE</v>
      </c>
      <c r="P45" s="560">
        <f ca="1"/>
        <v>0</v>
      </c>
      <c r="Q45" t="str">
        <f ca="1"/>
        <v>C</v>
      </c>
      <c r="R45" s="650">
        <f ca="1"/>
        <v>-1.0088511904761902E-3</v>
      </c>
      <c r="S45" t="str">
        <f ca="1"/>
        <v>PFE</v>
      </c>
      <c r="T45" s="87">
        <f ca="1"/>
        <v>56</v>
      </c>
      <c r="U45" t="str">
        <f ca="1"/>
        <v>PFE</v>
      </c>
      <c r="V45" s="87">
        <f ca="1"/>
        <v>464</v>
      </c>
      <c r="W45" t="str">
        <f ca="1"/>
        <v>NEE</v>
      </c>
      <c r="X45">
        <f ca="1"/>
        <v>13</v>
      </c>
      <c r="Y45" t="str">
        <f ca="1"/>
        <v>MRNA</v>
      </c>
      <c r="Z45">
        <f ca="1"/>
        <v>10</v>
      </c>
      <c r="AA45" t="str">
        <f ca="1"/>
        <v>AZN</v>
      </c>
      <c r="AB45">
        <f ca="1"/>
        <v>49</v>
      </c>
      <c r="AC45" t="str">
        <f ca="1"/>
        <v>SAFDIS</v>
      </c>
      <c r="AD45">
        <f ca="1"/>
        <v>51</v>
      </c>
      <c r="AE45" t="str">
        <f ca="1"/>
        <v>ORA</v>
      </c>
      <c r="AF45" s="87">
        <f ca="1"/>
        <v>0</v>
      </c>
      <c r="AG45" t="str">
        <f ca="1"/>
        <v>MVEEOAN</v>
      </c>
      <c r="AH45" s="87">
        <f ca="1"/>
        <v>50.45</v>
      </c>
      <c r="AI45" t="str">
        <f ca="1"/>
        <v>DVA</v>
      </c>
      <c r="AJ45" s="87">
        <f ca="1"/>
        <v>183.99999999999181</v>
      </c>
      <c r="AK45" s="90" t="str">
        <f ca="1"/>
        <v>C</v>
      </c>
      <c r="AL45" s="310">
        <f ca="1"/>
        <v>-1.0088511904761902E-3</v>
      </c>
      <c r="AM45" t="str">
        <f ca="1"/>
        <v>HPE</v>
      </c>
      <c r="AN45" s="310">
        <f ca="1"/>
        <v>0.14745830242383334</v>
      </c>
      <c r="AO45" t="str">
        <f ca="1"/>
        <v>ENI</v>
      </c>
      <c r="AP45" s="310">
        <f ca="1"/>
        <v>-6.7967887049371595E-2</v>
      </c>
      <c r="AQ45" s="87" t="str">
        <f ca="1"/>
        <v>SAFDDD</v>
      </c>
      <c r="AR45" s="90">
        <f ca="1"/>
        <v>0.31034301990319257</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GNRC</v>
      </c>
      <c r="F46" s="559">
        <f ca="1"/>
        <v>0.73573772972622398</v>
      </c>
      <c r="G46" s="153" t="str">
        <f ca="1"/>
        <v>DVA</v>
      </c>
      <c r="H46" s="560">
        <f ca="1"/>
        <v>36556.189999999944</v>
      </c>
      <c r="I46" t="str">
        <f ca="1"/>
        <v>MVEEOAN</v>
      </c>
      <c r="J46" s="561">
        <f ca="1"/>
        <v>1.555E-3</v>
      </c>
      <c r="K46" s="153" t="str">
        <f ca="1"/>
        <v>MVEEOAN</v>
      </c>
      <c r="L46" s="561">
        <f ca="1"/>
        <v>1.555E-3</v>
      </c>
      <c r="M46" s="1" t="str">
        <f ca="1"/>
        <v>MVEEOAN</v>
      </c>
      <c r="N46" s="560">
        <f ca="1"/>
        <v>50.45</v>
      </c>
      <c r="O46" t="str">
        <f ca="1"/>
        <v>UNIT</v>
      </c>
      <c r="P46" s="560">
        <f ca="1"/>
        <v>0</v>
      </c>
      <c r="Q46" t="str">
        <f ca="1"/>
        <v>OXY</v>
      </c>
      <c r="R46" s="650">
        <f ca="1"/>
        <v>-1.019898809523811E-3</v>
      </c>
      <c r="S46" t="str">
        <f ca="1"/>
        <v>MVEDDD</v>
      </c>
      <c r="T46" s="87">
        <f ca="1"/>
        <v>49.999999999996362</v>
      </c>
      <c r="U46" t="str">
        <f ca="1"/>
        <v>UN0</v>
      </c>
      <c r="V46" s="87">
        <f ca="1"/>
        <v>300</v>
      </c>
      <c r="W46" t="str">
        <f ca="1"/>
        <v>ASML</v>
      </c>
      <c r="X46">
        <f ca="1"/>
        <v>14</v>
      </c>
      <c r="Y46" t="str">
        <f ca="1"/>
        <v>NEE</v>
      </c>
      <c r="Z46">
        <f ca="1"/>
        <v>10</v>
      </c>
      <c r="AA46" t="str">
        <f ca="1"/>
        <v>LUMN</v>
      </c>
      <c r="AB46">
        <f ca="1"/>
        <v>49</v>
      </c>
      <c r="AC46" t="str">
        <f ca="1"/>
        <v>SAFMRNA</v>
      </c>
      <c r="AD46">
        <f ca="1"/>
        <v>51</v>
      </c>
      <c r="AE46" t="str">
        <f ca="1"/>
        <v>PFE</v>
      </c>
      <c r="AF46" s="87">
        <f ca="1"/>
        <v>0</v>
      </c>
      <c r="AG46" t="str">
        <f ca="1"/>
        <v>CVS</v>
      </c>
      <c r="AH46" s="87">
        <f ca="1"/>
        <v>22.783810000000003</v>
      </c>
      <c r="AI46" t="str">
        <f ca="1"/>
        <v>VONN</v>
      </c>
      <c r="AJ46" s="87">
        <f ca="1"/>
        <v>60.900000000000119</v>
      </c>
      <c r="AK46" s="90" t="str">
        <f ca="1"/>
        <v>OXY</v>
      </c>
      <c r="AL46" s="310">
        <f ca="1"/>
        <v>-1.019898809523811E-3</v>
      </c>
      <c r="AM46" t="str">
        <f ca="1"/>
        <v>PROF</v>
      </c>
      <c r="AN46" s="310">
        <f ca="1"/>
        <v>0.14125028901734091</v>
      </c>
      <c r="AO46" t="str">
        <f ca="1"/>
        <v>VTRS</v>
      </c>
      <c r="AP46" s="310">
        <f ca="1"/>
        <v>-6.3642183622828641E-2</v>
      </c>
      <c r="AQ46" s="87" t="str">
        <f ca="1"/>
        <v>BLDP</v>
      </c>
      <c r="AR46" s="90">
        <f ca="1"/>
        <v>0.2638504155124653</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OXY</v>
      </c>
      <c r="F47" s="559">
        <f ca="1"/>
        <v>0.73549582470054142</v>
      </c>
      <c r="G47" s="153" t="str">
        <f ca="1"/>
        <v>RWE</v>
      </c>
      <c r="H47" s="560">
        <f ca="1"/>
        <v>36278.852499999921</v>
      </c>
      <c r="I47" t="str">
        <f ca="1"/>
        <v>JBEOAN</v>
      </c>
      <c r="J47" s="561">
        <f ca="1"/>
        <v>1.555E-3</v>
      </c>
      <c r="K47" s="153" t="str">
        <f ca="1"/>
        <v>JBEOAN</v>
      </c>
      <c r="L47" s="561">
        <f ca="1"/>
        <v>1.555E-3</v>
      </c>
      <c r="M47" s="1" t="str">
        <f ca="1"/>
        <v>CVS</v>
      </c>
      <c r="N47" s="560">
        <f ca="1"/>
        <v>22.783810000000003</v>
      </c>
      <c r="O47" t="str">
        <f ca="1"/>
        <v>MVEALDNE</v>
      </c>
      <c r="P47" s="560">
        <f ca="1"/>
        <v>0</v>
      </c>
      <c r="Q47" t="str">
        <f ca="1"/>
        <v>DIS</v>
      </c>
      <c r="R47" s="650">
        <f ca="1"/>
        <v>-1.4006375000000003E-3</v>
      </c>
      <c r="S47" t="str">
        <f ca="1"/>
        <v>EPIX</v>
      </c>
      <c r="T47" s="87">
        <f ca="1"/>
        <v>36</v>
      </c>
      <c r="U47" t="str">
        <f ca="1"/>
        <v>ORA</v>
      </c>
      <c r="V47" s="87">
        <f ca="1"/>
        <v>270</v>
      </c>
      <c r="W47" t="str">
        <f ca="1"/>
        <v>NEM</v>
      </c>
      <c r="X47">
        <f ca="1"/>
        <v>14</v>
      </c>
      <c r="Y47" t="str">
        <f ca="1"/>
        <v>UNIT</v>
      </c>
      <c r="Z47">
        <f ca="1"/>
        <v>10</v>
      </c>
      <c r="AA47" t="str">
        <f ca="1"/>
        <v>VONN</v>
      </c>
      <c r="AB47">
        <f ca="1"/>
        <v>49</v>
      </c>
      <c r="AC47" t="str">
        <f ca="1"/>
        <v>LAZR</v>
      </c>
      <c r="AD47">
        <f ca="1"/>
        <v>51</v>
      </c>
      <c r="AE47" t="str">
        <f ca="1"/>
        <v>RRC</v>
      </c>
      <c r="AF47" s="87">
        <f ca="1"/>
        <v>0</v>
      </c>
      <c r="AG47" t="str">
        <f ca="1"/>
        <v>NEE</v>
      </c>
      <c r="AH47" s="87">
        <f ca="1"/>
        <v>12.70955699999999</v>
      </c>
      <c r="AI47" t="str">
        <f ca="1"/>
        <v>EOAN</v>
      </c>
      <c r="AJ47" s="87">
        <f ca="1"/>
        <v>48.000000000001819</v>
      </c>
      <c r="AK47" s="90" t="str">
        <f ca="1"/>
        <v>DIS</v>
      </c>
      <c r="AL47" s="310">
        <f ca="1"/>
        <v>-1.4006375000000003E-3</v>
      </c>
      <c r="AM47" t="str">
        <f ca="1"/>
        <v>RIG</v>
      </c>
      <c r="AN47" s="310">
        <f ca="1"/>
        <v>0.12944354364171304</v>
      </c>
      <c r="AO47" t="str">
        <f ca="1"/>
        <v>CSCO</v>
      </c>
      <c r="AP47" s="310">
        <f ca="1"/>
        <v>-5.5120267888614655E-2</v>
      </c>
      <c r="AQ47" s="87" t="str">
        <f ca="1"/>
        <v>LOCK</v>
      </c>
      <c r="AR47" s="90">
        <f ca="1"/>
        <v>0.25823109385850884</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MVEGLE</v>
      </c>
      <c r="F48" s="559">
        <f ca="1"/>
        <v>0.71645315441424917</v>
      </c>
      <c r="G48" s="153" t="str">
        <f ca="1"/>
        <v>SAFDIS</v>
      </c>
      <c r="H48" s="560">
        <f ca="1"/>
        <v>36106.119999999981</v>
      </c>
      <c r="I48" t="str">
        <f ca="1"/>
        <v>MSFT</v>
      </c>
      <c r="J48" s="561">
        <f ca="1"/>
        <v>1.0660000000000001E-3</v>
      </c>
      <c r="K48" s="153" t="str">
        <f ca="1"/>
        <v>MSFT</v>
      </c>
      <c r="L48" s="561">
        <f ca="1"/>
        <v>1.0660000000000001E-3</v>
      </c>
      <c r="M48" s="1" t="str">
        <f ca="1"/>
        <v>NEE</v>
      </c>
      <c r="N48" s="560">
        <f ca="1"/>
        <v>12.70955699999999</v>
      </c>
      <c r="O48" t="str">
        <f ca="1"/>
        <v>MVEEPIX</v>
      </c>
      <c r="P48" s="560">
        <f ca="1"/>
        <v>0</v>
      </c>
      <c r="Q48" t="str">
        <f ca="1"/>
        <v>MVEDSY</v>
      </c>
      <c r="R48" s="650">
        <f ca="1"/>
        <v>-1.4006375000000003E-3</v>
      </c>
      <c r="S48" t="str">
        <f ca="1"/>
        <v>VTRS</v>
      </c>
      <c r="T48" s="87">
        <f ca="1"/>
        <v>25</v>
      </c>
      <c r="U48" t="str">
        <f ca="1"/>
        <v>MVEUN0</v>
      </c>
      <c r="V48" s="87">
        <f ca="1"/>
        <v>56</v>
      </c>
      <c r="W48" t="str">
        <f ca="1"/>
        <v>SAFASML</v>
      </c>
      <c r="X48">
        <f ca="1"/>
        <v>14</v>
      </c>
      <c r="Y48" t="str">
        <f ca="1"/>
        <v>VLVLY</v>
      </c>
      <c r="Z48">
        <f ca="1"/>
        <v>10</v>
      </c>
      <c r="AA48" t="str">
        <f ca="1"/>
        <v>SAFMRNA</v>
      </c>
      <c r="AB48">
        <f ca="1"/>
        <v>49</v>
      </c>
      <c r="AC48" t="str">
        <f ca="1"/>
        <v>VTRS</v>
      </c>
      <c r="AD48">
        <f ca="1"/>
        <v>49</v>
      </c>
      <c r="AE48" t="str">
        <f ca="1"/>
        <v>THC</v>
      </c>
      <c r="AF48" s="87">
        <f ca="1"/>
        <v>0</v>
      </c>
      <c r="AG48" t="str">
        <f ca="1"/>
        <v>MVERWE</v>
      </c>
      <c r="AH48" s="87">
        <f ca="1"/>
        <v>9.8149999999999977</v>
      </c>
      <c r="AI48" t="str">
        <f ca="1"/>
        <v>JBEOAN</v>
      </c>
      <c r="AJ48" s="87">
        <f ca="1"/>
        <v>45.000000000001705</v>
      </c>
      <c r="AK48" s="90" t="str">
        <f ca="1"/>
        <v>MVEDSY</v>
      </c>
      <c r="AL48" s="310">
        <f ca="1"/>
        <v>-1.4006375000000003E-3</v>
      </c>
      <c r="AM48" t="str">
        <f ca="1"/>
        <v>JBEOAN</v>
      </c>
      <c r="AN48" s="310">
        <f ca="1"/>
        <v>0.12298998442186884</v>
      </c>
      <c r="AO48" t="str">
        <f ca="1"/>
        <v>LUV</v>
      </c>
      <c r="AP48" s="310">
        <f ca="1"/>
        <v>-5.4124795303568778E-2</v>
      </c>
      <c r="AQ48" s="87" t="str">
        <f ca="1"/>
        <v>WBA</v>
      </c>
      <c r="AR48" s="90">
        <f ca="1"/>
        <v>0.25077377748164403</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GLE</v>
      </c>
      <c r="F49" s="559">
        <f ca="1"/>
        <v>0.71645315441424917</v>
      </c>
      <c r="G49" s="153" t="str">
        <f ca="1"/>
        <v>ENI</v>
      </c>
      <c r="H49" s="560">
        <f ca="1"/>
        <v>34041.53600000008</v>
      </c>
      <c r="I49" t="str">
        <f ca="1"/>
        <v>EPIX</v>
      </c>
      <c r="J49" s="561">
        <f ca="1"/>
        <v>0</v>
      </c>
      <c r="K49" s="153" t="str">
        <f ca="1"/>
        <v>EPIX</v>
      </c>
      <c r="L49" s="561">
        <f ca="1"/>
        <v>0</v>
      </c>
      <c r="M49" s="1" t="str">
        <f ca="1"/>
        <v>MVERWE</v>
      </c>
      <c r="N49" s="560">
        <f ca="1"/>
        <v>9.8149999999999977</v>
      </c>
      <c r="O49" t="str">
        <f ca="1"/>
        <v>LAZR</v>
      </c>
      <c r="P49" s="560">
        <f ca="1"/>
        <v>0</v>
      </c>
      <c r="Q49" t="str">
        <f ca="1"/>
        <v>NVS</v>
      </c>
      <c r="R49" s="650">
        <f ca="1"/>
        <v>-1.4882547619047616E-3</v>
      </c>
      <c r="S49" t="str">
        <f ca="1"/>
        <v>AZN</v>
      </c>
      <c r="T49" s="87">
        <f ca="1"/>
        <v>22.5</v>
      </c>
      <c r="U49" t="str">
        <f ca="1"/>
        <v>GM</v>
      </c>
      <c r="V49" s="87">
        <f ca="1"/>
        <v>13.099999999999795</v>
      </c>
      <c r="W49" t="str">
        <f ca="1"/>
        <v>JBASML</v>
      </c>
      <c r="X49">
        <f ca="1"/>
        <v>14</v>
      </c>
      <c r="Y49" t="str">
        <f ca="1"/>
        <v>MVEDDD</v>
      </c>
      <c r="Z49">
        <f ca="1"/>
        <v>10</v>
      </c>
      <c r="AA49" t="str">
        <f ca="1"/>
        <v>DDD</v>
      </c>
      <c r="AB49">
        <f ca="1"/>
        <v>48</v>
      </c>
      <c r="AC49" t="str">
        <f ca="1"/>
        <v>MRNA</v>
      </c>
      <c r="AD49">
        <f ca="1"/>
        <v>48</v>
      </c>
      <c r="AE49" t="str">
        <f ca="1"/>
        <v>X</v>
      </c>
      <c r="AF49" s="87">
        <f ca="1"/>
        <v>0</v>
      </c>
      <c r="AG49" t="str">
        <f ca="1"/>
        <v>LNSR</v>
      </c>
      <c r="AH49" s="87">
        <f ca="1"/>
        <v>0</v>
      </c>
      <c r="AI49" t="str">
        <f ca="1"/>
        <v>ALDNE</v>
      </c>
      <c r="AJ49" s="87">
        <f ca="1"/>
        <v>0</v>
      </c>
      <c r="AK49" s="90" t="str">
        <f ca="1"/>
        <v>NVS</v>
      </c>
      <c r="AL49" s="310">
        <f ca="1"/>
        <v>-1.4882547619047616E-3</v>
      </c>
      <c r="AM49" t="str">
        <f ca="1"/>
        <v>ADEA</v>
      </c>
      <c r="AN49" s="310">
        <f ca="1"/>
        <v>7.4012520899013307E-2</v>
      </c>
      <c r="AO49" t="str">
        <f ca="1"/>
        <v>VLVLY</v>
      </c>
      <c r="AP49" s="310">
        <f ca="1"/>
        <v>-5.1530388634581363E-2</v>
      </c>
      <c r="AQ49" s="87" t="str">
        <f ca="1"/>
        <v>JBASML</v>
      </c>
      <c r="AR49" s="90">
        <f ca="1"/>
        <v>0.24629638468862494</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NFLX</v>
      </c>
      <c r="F50" s="559">
        <f ca="1"/>
        <v>0.70146614838085575</v>
      </c>
      <c r="G50" s="153" t="str">
        <f ca="1"/>
        <v>EZJ</v>
      </c>
      <c r="H50" s="560">
        <f ca="1"/>
        <v>33469.403000000006</v>
      </c>
      <c r="I50" t="str">
        <f ca="1"/>
        <v>HPE</v>
      </c>
      <c r="J50" s="561">
        <f ca="1"/>
        <v>0</v>
      </c>
      <c r="K50" s="153" t="str">
        <f ca="1"/>
        <v>HPE</v>
      </c>
      <c r="L50" s="561">
        <f ca="1"/>
        <v>0</v>
      </c>
      <c r="M50" s="1" t="str">
        <f ca="1"/>
        <v>LNSR</v>
      </c>
      <c r="N50" s="560">
        <f ca="1"/>
        <v>0</v>
      </c>
      <c r="O50" t="str">
        <f ca="1"/>
        <v>LOCK</v>
      </c>
      <c r="P50" s="560">
        <f ca="1"/>
        <v>0</v>
      </c>
      <c r="Q50" t="str">
        <f ca="1"/>
        <v>LAZR</v>
      </c>
      <c r="R50" s="650">
        <f ca="1"/>
        <v>-1.7441130952381E-3</v>
      </c>
      <c r="S50" t="str">
        <f ca="1"/>
        <v>GM</v>
      </c>
      <c r="T50" s="87">
        <f ca="1"/>
        <v>17.199999999999932</v>
      </c>
      <c r="U50" t="str">
        <f ca="1"/>
        <v>C</v>
      </c>
      <c r="V50" s="87">
        <f ca="1"/>
        <v>9.6000000000011028</v>
      </c>
      <c r="W50" t="str">
        <f ca="1"/>
        <v>DVA</v>
      </c>
      <c r="X50">
        <f ca="1"/>
        <v>15</v>
      </c>
      <c r="Y50" t="str">
        <f ca="1"/>
        <v>MVEEOAN</v>
      </c>
      <c r="Z50">
        <f ca="1"/>
        <v>10</v>
      </c>
      <c r="AA50" t="str">
        <f ca="1"/>
        <v>SAFDIS</v>
      </c>
      <c r="AB50">
        <f ca="1"/>
        <v>48</v>
      </c>
      <c r="AC50" t="str">
        <f ca="1"/>
        <v>MSFT</v>
      </c>
      <c r="AD50">
        <f ca="1"/>
        <v>47</v>
      </c>
      <c r="AE50" t="str">
        <f ca="1"/>
        <v>JBASML</v>
      </c>
      <c r="AF50" s="87">
        <f ca="1"/>
        <v>0</v>
      </c>
      <c r="AG50" t="str">
        <f ca="1"/>
        <v>SAFGM</v>
      </c>
      <c r="AH50" s="87">
        <f ca="1"/>
        <v>0</v>
      </c>
      <c r="AI50" t="str">
        <f ca="1"/>
        <v>BMRA</v>
      </c>
      <c r="AJ50" s="87">
        <f ca="1"/>
        <v>0</v>
      </c>
      <c r="AK50" s="90" t="str">
        <f ca="1"/>
        <v>LAZR</v>
      </c>
      <c r="AL50" s="310">
        <f ca="1"/>
        <v>-1.7441130952381E-3</v>
      </c>
      <c r="AM50" t="str">
        <f ca="1"/>
        <v>ENI</v>
      </c>
      <c r="AN50" s="310">
        <f ca="1"/>
        <v>6.9757854068606434E-2</v>
      </c>
      <c r="AO50" t="str">
        <f ca="1"/>
        <v>RRC</v>
      </c>
      <c r="AP50" s="310">
        <f ca="1"/>
        <v>-4.4571680470211004E-2</v>
      </c>
      <c r="AQ50" s="87" t="str">
        <f ca="1"/>
        <v>ORA</v>
      </c>
      <c r="AR50" s="90">
        <f ca="1"/>
        <v>0.2244972197682274</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NEE</v>
      </c>
      <c r="F51" s="559">
        <f ca="1"/>
        <v>0.69580457722675726</v>
      </c>
      <c r="G51" s="153" t="str">
        <f ca="1"/>
        <v>RIG</v>
      </c>
      <c r="H51" s="560">
        <f ca="1"/>
        <v>28230.100000000006</v>
      </c>
      <c r="I51" t="str">
        <f ca="1"/>
        <v>SSYS</v>
      </c>
      <c r="J51" s="561">
        <f ca="1"/>
        <v>0</v>
      </c>
      <c r="K51" s="153" t="str">
        <f ca="1"/>
        <v>SSYS</v>
      </c>
      <c r="L51" s="561">
        <f ca="1"/>
        <v>0</v>
      </c>
      <c r="M51" s="1" t="str">
        <f ca="1"/>
        <v>SAFGM</v>
      </c>
      <c r="N51" s="560">
        <f ca="1"/>
        <v>0</v>
      </c>
      <c r="O51" t="str">
        <f ca="1"/>
        <v>JBEOAN</v>
      </c>
      <c r="P51" s="560">
        <f ca="1"/>
        <v>-44.883000000001701</v>
      </c>
      <c r="Q51" t="str">
        <f ca="1"/>
        <v>DSY</v>
      </c>
      <c r="R51" s="650">
        <f ca="1"/>
        <v>-1.7650815476190475E-3</v>
      </c>
      <c r="S51" t="str">
        <f ca="1"/>
        <v>MVEEPIX</v>
      </c>
      <c r="T51" s="87">
        <f ca="1"/>
        <v>14.400000000000091</v>
      </c>
      <c r="U51" t="str">
        <f ca="1"/>
        <v>CVS</v>
      </c>
      <c r="V51" s="87">
        <f ca="1"/>
        <v>1.4000000000000057</v>
      </c>
      <c r="W51" t="str">
        <f ca="1"/>
        <v>VTRS</v>
      </c>
      <c r="X51">
        <f ca="1"/>
        <v>15</v>
      </c>
      <c r="Y51" t="str">
        <f ca="1"/>
        <v>SAFAMZN</v>
      </c>
      <c r="Z51">
        <f ca="1"/>
        <v>10</v>
      </c>
      <c r="AA51" t="str">
        <f ca="1"/>
        <v>AMZN</v>
      </c>
      <c r="AB51">
        <f ca="1"/>
        <v>47</v>
      </c>
      <c r="AC51" t="str">
        <f ca="1"/>
        <v>DXC</v>
      </c>
      <c r="AD51">
        <f ca="1"/>
        <v>46</v>
      </c>
      <c r="AE51" t="str">
        <f ca="1"/>
        <v>JBEOAN</v>
      </c>
      <c r="AF51" s="87">
        <f ca="1"/>
        <v>0</v>
      </c>
      <c r="AG51" t="str">
        <f ca="1"/>
        <v>SAFIAG</v>
      </c>
      <c r="AH51" s="87">
        <f ca="1"/>
        <v>0</v>
      </c>
      <c r="AI51" t="str">
        <f ca="1"/>
        <v>NOTE</v>
      </c>
      <c r="AJ51" s="87">
        <f ca="1"/>
        <v>0</v>
      </c>
      <c r="AK51" s="90" t="str">
        <f ca="1"/>
        <v>DSY</v>
      </c>
      <c r="AL51" s="310">
        <f ca="1"/>
        <v>-1.7650815476190475E-3</v>
      </c>
      <c r="AM51" t="str">
        <f ca="1"/>
        <v>VTRS</v>
      </c>
      <c r="AN51" s="310">
        <f ca="1"/>
        <v>6.4841543340380378E-2</v>
      </c>
      <c r="AO51" t="str">
        <f ca="1"/>
        <v>XOM</v>
      </c>
      <c r="AP51" s="310">
        <f ca="1"/>
        <v>-4.0593014737200728E-2</v>
      </c>
      <c r="AQ51" s="87" t="str">
        <f ca="1"/>
        <v>THC</v>
      </c>
      <c r="AR51" s="90">
        <f ca="1"/>
        <v>0.21496720333929575</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AMZN</v>
      </c>
      <c r="F52" s="559">
        <f ca="1"/>
        <v>0.6942070189669548</v>
      </c>
      <c r="G52" s="153" t="str">
        <f ca="1"/>
        <v>AET</v>
      </c>
      <c r="H52" s="560">
        <f ca="1"/>
        <v>23778.964192999993</v>
      </c>
      <c r="I52" t="str">
        <f ca="1"/>
        <v>WBA</v>
      </c>
      <c r="J52" s="561">
        <f ca="1"/>
        <v>0</v>
      </c>
      <c r="K52" s="153" t="str">
        <f ca="1"/>
        <v>WBA</v>
      </c>
      <c r="L52" s="561">
        <f ca="1"/>
        <v>0</v>
      </c>
      <c r="M52" s="1" t="str">
        <f ca="1"/>
        <v>SAFIAG</v>
      </c>
      <c r="N52" s="560">
        <f ca="1"/>
        <v>0</v>
      </c>
      <c r="O52" t="str">
        <f ca="1"/>
        <v>EOAN</v>
      </c>
      <c r="P52" s="560">
        <f ca="1"/>
        <v>-47.875200000001811</v>
      </c>
      <c r="Q52" t="str">
        <f ca="1"/>
        <v>BLNK</v>
      </c>
      <c r="R52" s="650">
        <f ca="1"/>
        <v>-1.8665476190476227E-3</v>
      </c>
      <c r="S52" t="str">
        <f ca="1"/>
        <v>C</v>
      </c>
      <c r="T52" s="87">
        <f ca="1"/>
        <v>11.550000000001091</v>
      </c>
      <c r="U52" t="str">
        <f ca="1"/>
        <v>EPIX</v>
      </c>
      <c r="V52" s="87">
        <f ca="1"/>
        <v>0</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F</v>
      </c>
      <c r="AH52" s="87">
        <f ca="1"/>
        <v>0</v>
      </c>
      <c r="AI52" t="str">
        <f ca="1"/>
        <v>UNIT</v>
      </c>
      <c r="AJ52" s="87">
        <f ca="1"/>
        <v>0</v>
      </c>
      <c r="AK52" s="90" t="str">
        <f ca="1"/>
        <v>BLNK</v>
      </c>
      <c r="AL52" s="310">
        <f ca="1"/>
        <v>-1.8665476190476227E-3</v>
      </c>
      <c r="AM52" t="str">
        <f ca="1"/>
        <v>CSCO</v>
      </c>
      <c r="AN52" s="310">
        <f ca="1"/>
        <v>5.5287425595238006E-2</v>
      </c>
      <c r="AO52" t="str">
        <f ca="1"/>
        <v>ORA</v>
      </c>
      <c r="AP52" s="310">
        <f ca="1"/>
        <v>-3.2250547123190962E-2</v>
      </c>
      <c r="AQ52" s="87" t="str">
        <f ca="1"/>
        <v>MVEGLE</v>
      </c>
      <c r="AR52" s="90">
        <f ca="1"/>
        <v>0.19675252551964797</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SAFAMZN</v>
      </c>
      <c r="F53" s="559">
        <f ca="1"/>
        <v>0.6942070189669548</v>
      </c>
      <c r="G53" s="153" t="str">
        <f ca="1"/>
        <v>DIS</v>
      </c>
      <c r="H53" s="560">
        <f ca="1"/>
        <v>19032.487999999954</v>
      </c>
      <c r="I53" t="str">
        <f ca="1"/>
        <v>MVEEPIX</v>
      </c>
      <c r="J53" s="561">
        <f ca="1"/>
        <v>0</v>
      </c>
      <c r="K53" s="153" t="str">
        <f ca="1"/>
        <v>MVEEPIX</v>
      </c>
      <c r="L53" s="561">
        <f ca="1"/>
        <v>0</v>
      </c>
      <c r="M53" s="1" t="str">
        <f ca="1"/>
        <v>F</v>
      </c>
      <c r="N53" s="560">
        <f ca="1"/>
        <v>0</v>
      </c>
      <c r="O53" t="str">
        <f ca="1"/>
        <v>VONN</v>
      </c>
      <c r="P53" s="560">
        <f ca="1"/>
        <v>-60.741660000000117</v>
      </c>
      <c r="Q53" t="str">
        <f ca="1"/>
        <v>THC</v>
      </c>
      <c r="R53" s="650">
        <f ca="1"/>
        <v>-2.4834809523809525E-3</v>
      </c>
      <c r="S53" t="str">
        <f ca="1"/>
        <v>NEE</v>
      </c>
      <c r="T53" s="87">
        <f ca="1"/>
        <v>1.9299999999999926</v>
      </c>
      <c r="U53" t="str">
        <f ca="1"/>
        <v>LNSR</v>
      </c>
      <c r="V53" s="87">
        <f ca="1"/>
        <v>0</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GLE</v>
      </c>
      <c r="AH53" s="87">
        <f ca="1"/>
        <v>0</v>
      </c>
      <c r="AI53" t="str">
        <f ca="1"/>
        <v>MVEALDNE</v>
      </c>
      <c r="AJ53" s="87">
        <f ca="1"/>
        <v>0</v>
      </c>
      <c r="AK53" s="90" t="str">
        <f ca="1"/>
        <v>THC</v>
      </c>
      <c r="AL53" s="310">
        <f ca="1"/>
        <v>-2.4834809523809525E-3</v>
      </c>
      <c r="AM53" t="str">
        <f ca="1"/>
        <v>LUV</v>
      </c>
      <c r="AN53" s="310">
        <f ca="1"/>
        <v>5.4182577026067477E-2</v>
      </c>
      <c r="AO53" t="str">
        <f ca="1"/>
        <v>EZJ</v>
      </c>
      <c r="AP53" s="310">
        <f ca="1"/>
        <v>-2.4718512233064531E-2</v>
      </c>
      <c r="AQ53" s="87" t="str">
        <f ca="1"/>
        <v>POET</v>
      </c>
      <c r="AR53" s="90">
        <f ca="1"/>
        <v>0.13015625000000011</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NVS</v>
      </c>
      <c r="F54" s="559">
        <f ca="1"/>
        <v>0.69127556692117309</v>
      </c>
      <c r="G54" s="153" t="str">
        <f ca="1"/>
        <v>MVEEOAN</v>
      </c>
      <c r="H54" s="560">
        <f ca="1"/>
        <v>18120.935000000016</v>
      </c>
      <c r="I54" t="str">
        <f ca="1"/>
        <v>X</v>
      </c>
      <c r="J54" s="561">
        <f ca="1"/>
        <v>0</v>
      </c>
      <c r="K54" s="153" t="str">
        <f ca="1"/>
        <v>X</v>
      </c>
      <c r="L54" s="561">
        <f ca="1"/>
        <v>0</v>
      </c>
      <c r="M54" s="1" t="str">
        <f ca="1"/>
        <v>GLE</v>
      </c>
      <c r="N54" s="560">
        <f ca="1"/>
        <v>0</v>
      </c>
      <c r="O54" t="str">
        <f ca="1"/>
        <v>DVA</v>
      </c>
      <c r="P54" s="560">
        <f ca="1"/>
        <v>-183.52159999999182</v>
      </c>
      <c r="Q54" t="str">
        <f ca="1"/>
        <v>NVAX</v>
      </c>
      <c r="R54" s="650">
        <f ca="1"/>
        <v>-2.8571726190476186E-3</v>
      </c>
      <c r="S54" t="str">
        <f ca="1"/>
        <v>X</v>
      </c>
      <c r="T54" s="87">
        <f ca="1"/>
        <v>0.10000000000013642</v>
      </c>
      <c r="U54" t="str">
        <f ca="1"/>
        <v>WBA</v>
      </c>
      <c r="V54" s="87">
        <f ca="1"/>
        <v>0</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GS</v>
      </c>
      <c r="AH54" s="87">
        <f ca="1"/>
        <v>0</v>
      </c>
      <c r="AI54" t="str">
        <f ca="1"/>
        <v>MVEEPIX</v>
      </c>
      <c r="AJ54" s="87">
        <f ca="1"/>
        <v>0</v>
      </c>
      <c r="AK54" s="90" t="str">
        <f ca="1"/>
        <v>NVAX</v>
      </c>
      <c r="AL54" s="310">
        <f ca="1"/>
        <v>-2.8571726190476186E-3</v>
      </c>
      <c r="AM54" t="str">
        <f ca="1"/>
        <v>VLVLY</v>
      </c>
      <c r="AN54" s="310">
        <f ca="1"/>
        <v>5.1313982742090126E-2</v>
      </c>
      <c r="AO54" t="str">
        <f ca="1"/>
        <v>C</v>
      </c>
      <c r="AP54" s="310">
        <f ca="1"/>
        <v>-1.6608110207871354E-2</v>
      </c>
      <c r="AQ54" s="87" t="str">
        <f ca="1"/>
        <v>LUV</v>
      </c>
      <c r="AR54" s="90">
        <f ca="1"/>
        <v>6.9844910085451795E-2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BLDP</v>
      </c>
      <c r="F55" s="559">
        <f ca="1"/>
        <v>0.67292193067776529</v>
      </c>
      <c r="G55" s="153" t="str">
        <f ca="1"/>
        <v>GNRC</v>
      </c>
      <c r="H55" s="560">
        <f ca="1"/>
        <v>18108.85000000002</v>
      </c>
      <c r="I55" t="str">
        <f ca="1"/>
        <v>NVS</v>
      </c>
      <c r="J55" s="561">
        <f ca="1"/>
        <v>-9.4810000000000001E-4</v>
      </c>
      <c r="K55" s="153" t="str">
        <f ca="1"/>
        <v>NVS</v>
      </c>
      <c r="L55" s="561">
        <f ca="1"/>
        <v>-9.4810000000000001E-4</v>
      </c>
      <c r="M55" s="1" t="str">
        <f ca="1"/>
        <v>GS</v>
      </c>
      <c r="N55" s="560">
        <f ca="1"/>
        <v>0</v>
      </c>
      <c r="O55" t="str">
        <f ca="1"/>
        <v>AZN</v>
      </c>
      <c r="P55" s="560">
        <f ca="1"/>
        <v>-830.33549999999605</v>
      </c>
      <c r="Q55" t="str">
        <f ca="1"/>
        <v>ADEA</v>
      </c>
      <c r="R55" s="650">
        <f ca="1"/>
        <v>-2.8925714285714262E-3</v>
      </c>
      <c r="S55" t="str">
        <f ca="1"/>
        <v>AET</v>
      </c>
      <c r="T55" s="87">
        <f ca="1"/>
        <v>0</v>
      </c>
      <c r="U55" t="str">
        <f ca="1"/>
        <v>MVEEPIX</v>
      </c>
      <c r="V55" s="87">
        <f ca="1"/>
        <v>0</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NVS</v>
      </c>
      <c r="AH55" s="87">
        <f ca="1"/>
        <v>0</v>
      </c>
      <c r="AI55" t="str">
        <f ca="1"/>
        <v>LAZR</v>
      </c>
      <c r="AJ55" s="87">
        <f ca="1"/>
        <v>0</v>
      </c>
      <c r="AK55" s="90" t="str">
        <f ca="1"/>
        <v>ADEA</v>
      </c>
      <c r="AL55" s="310">
        <f ca="1"/>
        <v>-2.8925714285714262E-3</v>
      </c>
      <c r="AM55" t="str">
        <f ca="1"/>
        <v>XOM</v>
      </c>
      <c r="AN55" s="310">
        <f ca="1"/>
        <v>3.9390808465421E-2</v>
      </c>
      <c r="AO55" t="str">
        <f ca="1"/>
        <v>EOAN</v>
      </c>
      <c r="AP55" s="310">
        <f ca="1"/>
        <v>-9.5046879850978067E-3</v>
      </c>
      <c r="AQ55" s="87" t="str">
        <f ca="1"/>
        <v>NFLX</v>
      </c>
      <c r="AR55" s="90">
        <f ca="1"/>
        <v>5.5560186294630526E-2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AZN</v>
      </c>
      <c r="F56" s="559">
        <f ca="1"/>
        <v>0.66882833672373876</v>
      </c>
      <c r="G56" s="153" t="str">
        <f ca="1"/>
        <v>LUMN</v>
      </c>
      <c r="H56" s="560">
        <f ca="1"/>
        <v>14795.75</v>
      </c>
      <c r="I56" t="str">
        <f ca="1"/>
        <v>MVEENI</v>
      </c>
      <c r="J56" s="561">
        <f ca="1"/>
        <v>-1.003E-3</v>
      </c>
      <c r="K56" s="153" t="str">
        <f ca="1"/>
        <v>MVEENI</v>
      </c>
      <c r="L56" s="561">
        <f ca="1"/>
        <v>-1.003E-3</v>
      </c>
      <c r="M56" s="1" t="str">
        <f ca="1"/>
        <v>NVS</v>
      </c>
      <c r="N56" s="560">
        <f ca="1"/>
        <v>0</v>
      </c>
      <c r="O56" t="str">
        <f ca="1"/>
        <v>TSM</v>
      </c>
      <c r="P56" s="560">
        <f ca="1"/>
        <v>-897.66</v>
      </c>
      <c r="Q56" t="str">
        <f ca="1"/>
        <v>MVEGLE</v>
      </c>
      <c r="R56" s="650">
        <f ca="1"/>
        <v>-3.2292559523809522E-3</v>
      </c>
      <c r="S56" t="str">
        <f ca="1"/>
        <v>ALDNE</v>
      </c>
      <c r="T56" s="87">
        <f ca="1"/>
        <v>0</v>
      </c>
      <c r="U56" t="str">
        <f ca="1"/>
        <v>SAFGM</v>
      </c>
      <c r="V56" s="87">
        <f ca="1"/>
        <v>0</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RRC</v>
      </c>
      <c r="AH56" s="87">
        <f ca="1"/>
        <v>0</v>
      </c>
      <c r="AI56" t="str">
        <f ca="1"/>
        <v>LOCK</v>
      </c>
      <c r="AJ56" s="87">
        <f ca="1"/>
        <v>0</v>
      </c>
      <c r="AK56" s="90" t="str">
        <f ca="1"/>
        <v>MVEGLE</v>
      </c>
      <c r="AL56" s="310">
        <f ca="1"/>
        <v>-3.2292559523809522E-3</v>
      </c>
      <c r="AM56" t="str">
        <f ca="1"/>
        <v>EZJ</v>
      </c>
      <c r="AN56" s="310">
        <f ca="1"/>
        <v>2.2559997686055488E-2</v>
      </c>
      <c r="AO56" t="str">
        <f ca="1"/>
        <v>HPQ</v>
      </c>
      <c r="AP56" s="310">
        <f ca="1"/>
        <v>-7.0630936486744565E-3</v>
      </c>
      <c r="AQ56" s="87" t="str">
        <f ca="1"/>
        <v>SSYS</v>
      </c>
      <c r="AR56" s="90">
        <f ca="1"/>
        <v>2.6884779516358571E-2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LUV</v>
      </c>
      <c r="F57" s="559">
        <f ca="1"/>
        <v>0.64167079567908047</v>
      </c>
      <c r="G57" s="153" t="str">
        <f ca="1"/>
        <v>GM</v>
      </c>
      <c r="H57" s="560">
        <f ca="1"/>
        <v>14414.53</v>
      </c>
      <c r="I57" t="str">
        <f ca="1"/>
        <v>ENI</v>
      </c>
      <c r="J57" s="561">
        <f ca="1"/>
        <v>-1.003E-3</v>
      </c>
      <c r="K57" s="153" t="str">
        <f ca="1"/>
        <v>ENI</v>
      </c>
      <c r="L57" s="561">
        <f ca="1"/>
        <v>-1.003E-3</v>
      </c>
      <c r="M57" s="1" t="str">
        <f ca="1"/>
        <v>RRC</v>
      </c>
      <c r="N57" s="560">
        <f ca="1"/>
        <v>0</v>
      </c>
      <c r="O57" t="str">
        <f ca="1"/>
        <v>AAPL</v>
      </c>
      <c r="P57" s="560">
        <f ca="1"/>
        <v>-1018.8441000000031</v>
      </c>
      <c r="Q57" t="str">
        <f ca="1"/>
        <v>GLE</v>
      </c>
      <c r="R57" s="650">
        <f ca="1"/>
        <v>-3.2292559523809522E-3</v>
      </c>
      <c r="S57" t="str">
        <f ca="1"/>
        <v>DSY</v>
      </c>
      <c r="T57" s="87">
        <f ca="1"/>
        <v>0</v>
      </c>
      <c r="U57" t="str">
        <f ca="1"/>
        <v>SAFIAG</v>
      </c>
      <c r="V57" s="87">
        <f ca="1"/>
        <v>0</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XOM</v>
      </c>
      <c r="AH57" s="87">
        <f ca="1"/>
        <v>-29.999999999998295</v>
      </c>
      <c r="AI57" t="str">
        <f ca="1"/>
        <v>KR</v>
      </c>
      <c r="AJ57" s="87">
        <f ca="1"/>
        <v>-4.9999999999954525</v>
      </c>
      <c r="AK57" s="90" t="str">
        <f ca="1"/>
        <v>GLE</v>
      </c>
      <c r="AL57" s="310">
        <f ca="1"/>
        <v>-3.2292559523809522E-3</v>
      </c>
      <c r="AM57" t="str">
        <f ca="1"/>
        <v>C</v>
      </c>
      <c r="AN57" s="310">
        <f ca="1"/>
        <v>1.4170186657698029E-2</v>
      </c>
      <c r="AO57" t="str">
        <f ca="1"/>
        <v>SAFDIS</v>
      </c>
      <c r="AP57" s="310">
        <f ca="1"/>
        <v>-4.3151329058670786E-3</v>
      </c>
      <c r="AQ57" s="87" t="str">
        <f ca="1"/>
        <v>RRC</v>
      </c>
      <c r="AR57" s="90">
        <f ca="1"/>
        <v>2.0101062542981548E-2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CSCO</v>
      </c>
      <c r="F58" s="559">
        <f ca="1"/>
        <v>0.61914118961950071</v>
      </c>
      <c r="G58" s="153" t="str">
        <f ca="1"/>
        <v>NVS</v>
      </c>
      <c r="H58" s="560">
        <f ca="1"/>
        <v>13562.79389999999</v>
      </c>
      <c r="I58" t="str">
        <f ca="1"/>
        <v>CSCO</v>
      </c>
      <c r="J58" s="561">
        <f ca="1"/>
        <v>-1.6189999999999998E-3</v>
      </c>
      <c r="K58" s="153" t="str">
        <f ca="1"/>
        <v>CSCO</v>
      </c>
      <c r="L58" s="561">
        <f ca="1"/>
        <v>-1.6189999999999998E-3</v>
      </c>
      <c r="M58" s="1" t="str">
        <f ca="1"/>
        <v>PFE</v>
      </c>
      <c r="N58" s="560">
        <f ca="1"/>
        <v>-904.00000000000205</v>
      </c>
      <c r="O58" t="str">
        <f ca="1"/>
        <v>SHECY</v>
      </c>
      <c r="P58" s="560">
        <f ca="1"/>
        <v>-1166.1600799999997</v>
      </c>
      <c r="Q58" t="str">
        <f ca="1"/>
        <v>MRNA</v>
      </c>
      <c r="R58" s="650">
        <f ca="1"/>
        <v>-3.3257021428571435E-3</v>
      </c>
      <c r="S58" t="str">
        <f ca="1"/>
        <v>EOAN</v>
      </c>
      <c r="T58" s="87">
        <f ca="1"/>
        <v>0</v>
      </c>
      <c r="U58" t="str">
        <f ca="1"/>
        <v>F</v>
      </c>
      <c r="V58" s="87">
        <f ca="1"/>
        <v>0</v>
      </c>
      <c r="W58" t="str">
        <f ca="1"/>
        <v>ADEA</v>
      </c>
      <c r="X58">
        <f ca="1"/>
        <v>17</v>
      </c>
      <c r="Y58" t="str">
        <f ca="1"/>
        <v>HPE</v>
      </c>
      <c r="Z58">
        <f ca="1"/>
        <v>11</v>
      </c>
      <c r="AA58" t="str">
        <f ca="1"/>
        <v>NEE</v>
      </c>
      <c r="AB58">
        <f ca="1"/>
        <v>44</v>
      </c>
      <c r="AC58" t="str">
        <f ca="1"/>
        <v>SAFAMZN</v>
      </c>
      <c r="AD58">
        <f ca="1"/>
        <v>44</v>
      </c>
      <c r="AE58" t="str">
        <f ca="1"/>
        <v>MVEEPIX</v>
      </c>
      <c r="AF58" s="87">
        <f ca="1"/>
        <v>-17163.964</v>
      </c>
      <c r="AG58" t="str">
        <f ca="1"/>
        <v>ADEA</v>
      </c>
      <c r="AH58" s="87">
        <f ca="1"/>
        <v>-38.950000000000017</v>
      </c>
      <c r="AI58" t="str">
        <f ca="1"/>
        <v>TSLA</v>
      </c>
      <c r="AJ58" s="87">
        <f ca="1"/>
        <v>-22.40999999999957</v>
      </c>
      <c r="AK58" s="90" t="str">
        <f ca="1"/>
        <v>MRNA</v>
      </c>
      <c r="AL58" s="310">
        <f ca="1"/>
        <v>-3.3257021428571435E-3</v>
      </c>
      <c r="AM58" t="str">
        <f ca="1"/>
        <v>HPQ</v>
      </c>
      <c r="AN58" s="310">
        <f ca="1"/>
        <v>4.4714460878228553E-3</v>
      </c>
      <c r="AO58" t="str">
        <f ca="1"/>
        <v>MA</v>
      </c>
      <c r="AP58" s="310">
        <f ca="1"/>
        <v>6.560166878287808E-3</v>
      </c>
      <c r="AQ58" s="87" t="str">
        <f ca="1"/>
        <v>XOM</v>
      </c>
      <c r="AR58" s="90">
        <f ca="1"/>
        <v>-7.2954537164252996E-3</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MA</v>
      </c>
      <c r="F59" s="559">
        <f ca="1"/>
        <v>0.61408189407985569</v>
      </c>
      <c r="G59" s="153" t="str">
        <f ca="1"/>
        <v>XOM</v>
      </c>
      <c r="H59" s="560">
        <f ca="1"/>
        <v>10424.100000000006</v>
      </c>
      <c r="I59" t="str">
        <f ca="1"/>
        <v>PFE</v>
      </c>
      <c r="J59" s="561">
        <f ca="1"/>
        <v>-1.843E-3</v>
      </c>
      <c r="K59" s="153" t="str">
        <f ca="1"/>
        <v>PFE</v>
      </c>
      <c r="L59" s="561">
        <f ca="1"/>
        <v>-1.843E-3</v>
      </c>
      <c r="M59" s="1" t="str">
        <f ca="1"/>
        <v>MA</v>
      </c>
      <c r="N59" s="560">
        <f ca="1"/>
        <v>-1010.0000000000136</v>
      </c>
      <c r="O59" t="str">
        <f ca="1"/>
        <v>HPE</v>
      </c>
      <c r="P59" s="560">
        <f ca="1"/>
        <v>-1292.6304000000043</v>
      </c>
      <c r="Q59" t="str">
        <f ca="1"/>
        <v>MVEENI</v>
      </c>
      <c r="R59" s="650">
        <f ca="1"/>
        <v>-3.3662380952380949E-3</v>
      </c>
      <c r="S59" t="str">
        <f ca="1"/>
        <v>LNSR</v>
      </c>
      <c r="T59" s="87">
        <f ca="1"/>
        <v>0</v>
      </c>
      <c r="U59" t="str">
        <f ca="1"/>
        <v>GLE</v>
      </c>
      <c r="V59" s="87">
        <f ca="1"/>
        <v>0</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C</v>
      </c>
      <c r="AH59" s="87">
        <f ca="1"/>
        <v>-41.00000000000108</v>
      </c>
      <c r="AI59" t="str">
        <f ca="1"/>
        <v>VTRS</v>
      </c>
      <c r="AJ59" s="87">
        <f ca="1"/>
        <v>-24.999999999995026</v>
      </c>
      <c r="AK59" s="90" t="str">
        <f ca="1"/>
        <v>MVEENI</v>
      </c>
      <c r="AL59" s="310">
        <f ca="1"/>
        <v>-3.3662380952380949E-3</v>
      </c>
      <c r="AM59" t="str">
        <f ca="1"/>
        <v>SAFDIS</v>
      </c>
      <c r="AN59" s="310">
        <f ca="1"/>
        <v>1.7136126337278404E-3</v>
      </c>
      <c r="AO59" t="str">
        <f ca="1"/>
        <v>MVEGLE</v>
      </c>
      <c r="AP59" s="310">
        <f ca="1"/>
        <v>1.608071533152057E-2</v>
      </c>
      <c r="AQ59" s="87" t="str">
        <f ca="1"/>
        <v>PFE</v>
      </c>
      <c r="AR59" s="90">
        <f ca="1"/>
        <v>-2.3235251783768274E-2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RIG</v>
      </c>
      <c r="F60" s="559">
        <f ca="1"/>
        <v>0.60737840672962018</v>
      </c>
      <c r="G60" s="153" t="str">
        <f ca="1"/>
        <v>RRC</v>
      </c>
      <c r="H60" s="560">
        <f ca="1"/>
        <v>9803.4699999999721</v>
      </c>
      <c r="I60" t="str">
        <f ca="1"/>
        <v>LOCK</v>
      </c>
      <c r="J60" s="561">
        <f ca="1"/>
        <v>-2.5490000000000001E-3</v>
      </c>
      <c r="K60" s="153" t="str">
        <f ca="1"/>
        <v>LOCK</v>
      </c>
      <c r="L60" s="561">
        <f ca="1"/>
        <v>-2.5490000000000001E-3</v>
      </c>
      <c r="M60" s="1" t="str">
        <f ca="1"/>
        <v>MVEDDD</v>
      </c>
      <c r="N60" s="560">
        <f ca="1"/>
        <v>-2250.0000000000009</v>
      </c>
      <c r="O60" t="str">
        <f ca="1"/>
        <v>VLVLY</v>
      </c>
      <c r="P60" s="560">
        <f ca="1"/>
        <v>-1328.2874499999996</v>
      </c>
      <c r="Q60" t="str">
        <f ca="1"/>
        <v>ENI</v>
      </c>
      <c r="R60" s="650">
        <f ca="1"/>
        <v>-3.3662380952380949E-3</v>
      </c>
      <c r="S60" t="str">
        <f ca="1"/>
        <v>MVEALDNE</v>
      </c>
      <c r="T60" s="87">
        <f ca="1"/>
        <v>0</v>
      </c>
      <c r="U60" t="str">
        <f ca="1"/>
        <v>GS</v>
      </c>
      <c r="V60" s="87">
        <f ca="1"/>
        <v>0</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AET</v>
      </c>
      <c r="AH60" s="87">
        <f ca="1"/>
        <v>-89.999999999999858</v>
      </c>
      <c r="AI60" t="str">
        <f ca="1"/>
        <v>RIG</v>
      </c>
      <c r="AJ60" s="87">
        <f ca="1"/>
        <v>-24.999999999999467</v>
      </c>
      <c r="AK60" s="90" t="str">
        <f ca="1"/>
        <v>ENI</v>
      </c>
      <c r="AL60" s="310">
        <f ca="1"/>
        <v>-3.3662380952380949E-3</v>
      </c>
      <c r="AM60" t="str">
        <f ca="1"/>
        <v>MA</v>
      </c>
      <c r="AN60" s="310">
        <f ca="1"/>
        <v>-9.0534196099578811E-3</v>
      </c>
      <c r="AO60" t="str">
        <f ca="1"/>
        <v>VONN</v>
      </c>
      <c r="AP60" s="310">
        <f ca="1"/>
        <v>1.8259538784067088E-2</v>
      </c>
      <c r="AQ60" s="87" t="str">
        <f ca="1"/>
        <v>TSM</v>
      </c>
      <c r="AR60" s="90">
        <f ca="1"/>
        <v>-4.3404823631074889E-2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MVEENI</v>
      </c>
      <c r="F61" s="559">
        <f ca="1"/>
        <v>0.59620640604938813</v>
      </c>
      <c r="G61" s="153" t="str">
        <f ca="1"/>
        <v>MVEDDD</v>
      </c>
      <c r="H61" s="560">
        <f ca="1"/>
        <v>9260.4149999999972</v>
      </c>
      <c r="I61" t="str">
        <f ca="1"/>
        <v>ALDNE</v>
      </c>
      <c r="J61" s="561">
        <f ca="1"/>
        <v>-2.5580000000000004E-3</v>
      </c>
      <c r="K61" s="153" t="str">
        <f ca="1"/>
        <v>ALDNE</v>
      </c>
      <c r="L61" s="561">
        <f ca="1"/>
        <v>-2.5580000000000004E-3</v>
      </c>
      <c r="M61" s="1" t="str">
        <f ca="1"/>
        <v>DIS</v>
      </c>
      <c r="N61" s="560">
        <f ca="1"/>
        <v>-3843.9999999999941</v>
      </c>
      <c r="O61" t="str">
        <f ca="1"/>
        <v>AET</v>
      </c>
      <c r="P61" s="560">
        <f ca="1"/>
        <v>-1458.1987999999992</v>
      </c>
      <c r="Q61" t="str">
        <f ca="1"/>
        <v>LOCK</v>
      </c>
      <c r="R61" s="650">
        <f ca="1"/>
        <v>-3.7230797619047622E-3</v>
      </c>
      <c r="S61" t="str">
        <f ca="1"/>
        <v>MVEDSY</v>
      </c>
      <c r="T61" s="87">
        <f ca="1"/>
        <v>0</v>
      </c>
      <c r="U61" t="str">
        <f ca="1"/>
        <v>NVS</v>
      </c>
      <c r="V61" s="87">
        <f ca="1"/>
        <v>0</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VONN</v>
      </c>
      <c r="AH61" s="87">
        <f ca="1"/>
        <v>-300.00000000001137</v>
      </c>
      <c r="AI61" t="str">
        <f ca="1"/>
        <v>AVGO</v>
      </c>
      <c r="AJ61" s="87">
        <f ca="1"/>
        <v>-207.20000000000255</v>
      </c>
      <c r="AK61" s="90" t="str">
        <f ca="1"/>
        <v>LOCK</v>
      </c>
      <c r="AL61" s="310">
        <f ca="1"/>
        <v>-3.7230797619047622E-3</v>
      </c>
      <c r="AM61" t="str">
        <f ca="1"/>
        <v>VONN</v>
      </c>
      <c r="AN61" s="310">
        <f ca="1"/>
        <v>-2.0380182770304962E-2</v>
      </c>
      <c r="AO61" t="str">
        <f ca="1"/>
        <v>PFE</v>
      </c>
      <c r="AP61" s="310">
        <f ca="1"/>
        <v>2.0579487179487231E-2</v>
      </c>
      <c r="AQ61" s="87" t="str">
        <f ca="1"/>
        <v>ADEA</v>
      </c>
      <c r="AR61" s="90">
        <f ca="1"/>
        <v>-4.5831392640894281E-2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ENI</v>
      </c>
      <c r="F62" s="559">
        <f ca="1"/>
        <v>0.59620640604938813</v>
      </c>
      <c r="G62" s="153" t="str">
        <f ca="1"/>
        <v>ORA</v>
      </c>
      <c r="H62" s="560">
        <f ca="1"/>
        <v>6469.2000000000116</v>
      </c>
      <c r="I62" t="str">
        <f ca="1"/>
        <v>MVEALDNE</v>
      </c>
      <c r="J62" s="561">
        <f ca="1"/>
        <v>-2.5580000000000004E-3</v>
      </c>
      <c r="K62" s="153" t="str">
        <f ca="1"/>
        <v>MVEALDNE</v>
      </c>
      <c r="L62" s="561">
        <f ca="1"/>
        <v>-2.5580000000000004E-3</v>
      </c>
      <c r="M62" s="1" t="str">
        <f ca="1"/>
        <v>PW</v>
      </c>
      <c r="N62" s="560">
        <f ca="1"/>
        <v>-4063.4001999999991</v>
      </c>
      <c r="O62" t="str">
        <f ca="1"/>
        <v>LUV</v>
      </c>
      <c r="P62" s="560">
        <f ca="1"/>
        <v>-1533.831641999994</v>
      </c>
      <c r="Q62" t="str">
        <f ca="1"/>
        <v>VONN</v>
      </c>
      <c r="R62" s="650">
        <f ca="1"/>
        <v>-4.0070059523809529E-3</v>
      </c>
      <c r="S62" t="str">
        <f ca="1"/>
        <v>MVEEOAN</v>
      </c>
      <c r="T62" s="87">
        <f ca="1"/>
        <v>0</v>
      </c>
      <c r="U62" t="str">
        <f ca="1"/>
        <v>RRC</v>
      </c>
      <c r="V62" s="87">
        <f ca="1"/>
        <v>0</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XPER</v>
      </c>
      <c r="AH62" s="87">
        <f ca="1"/>
        <v>-307.50000000000279</v>
      </c>
      <c r="AI62" t="str">
        <f ca="1"/>
        <v>C</v>
      </c>
      <c r="AJ62" s="87">
        <f ca="1"/>
        <v>-298.77499999999964</v>
      </c>
      <c r="AK62" s="90" t="str">
        <f ca="1"/>
        <v>VONN</v>
      </c>
      <c r="AL62" s="310">
        <f ca="1"/>
        <v>-4.0070059523809529E-3</v>
      </c>
      <c r="AM62" t="str">
        <f ca="1"/>
        <v>PFE</v>
      </c>
      <c r="AN62" s="310">
        <f ca="1"/>
        <v>-2.2595469125902216E-2</v>
      </c>
      <c r="AO62" t="str">
        <f ca="1"/>
        <v>NFLX</v>
      </c>
      <c r="AP62" s="310">
        <f ca="1"/>
        <v>2.440477598362515E-2</v>
      </c>
      <c r="AQ62" s="87" t="str">
        <f ca="1"/>
        <v>BMRA</v>
      </c>
      <c r="AR62" s="90">
        <f ca="1"/>
        <v>-5.3339567643775732E-2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DXC</v>
      </c>
      <c r="F63" s="559">
        <f ca="1"/>
        <v>0.58101947699442602</v>
      </c>
      <c r="G63" s="153" t="str">
        <f ca="1"/>
        <v>PROF</v>
      </c>
      <c r="H63" s="560">
        <f ca="1"/>
        <v>4227.3800000000265</v>
      </c>
      <c r="I63" t="str">
        <f ca="1"/>
        <v>GS</v>
      </c>
      <c r="J63" s="561">
        <f ca="1"/>
        <v>-2.8249999999999998E-3</v>
      </c>
      <c r="K63" s="153" t="str">
        <f ca="1"/>
        <v>GS</v>
      </c>
      <c r="L63" s="561">
        <f ca="1"/>
        <v>-2.8249999999999998E-3</v>
      </c>
      <c r="M63" s="1" t="str">
        <f ca="1"/>
        <v>DVA</v>
      </c>
      <c r="N63" s="560">
        <f ca="1"/>
        <v>-5097.5400000000118</v>
      </c>
      <c r="O63" t="str">
        <f ca="1"/>
        <v>PAAS</v>
      </c>
      <c r="P63" s="560">
        <f ca="1"/>
        <v>-2284.3452199999983</v>
      </c>
      <c r="Q63" t="str">
        <f ca="1"/>
        <v>HPE</v>
      </c>
      <c r="R63" s="650">
        <f ca="1"/>
        <v>-4.3898928571428561E-3</v>
      </c>
      <c r="S63" t="str">
        <f ca="1"/>
        <v>SAFGM</v>
      </c>
      <c r="T63" s="87">
        <f ca="1"/>
        <v>0</v>
      </c>
      <c r="U63" t="str">
        <f ca="1"/>
        <v>X</v>
      </c>
      <c r="V63" s="87">
        <f ca="1"/>
        <v>0</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MVEUN0</v>
      </c>
      <c r="AH63" s="87">
        <f ca="1"/>
        <v>-348.07499999999987</v>
      </c>
      <c r="AI63" t="str">
        <f ca="1"/>
        <v>THC</v>
      </c>
      <c r="AJ63" s="87">
        <f ca="1"/>
        <v>-305.00000000000682</v>
      </c>
      <c r="AK63" s="90" t="str">
        <f ca="1"/>
        <v>HPE</v>
      </c>
      <c r="AL63" s="310">
        <f ca="1"/>
        <v>-4.3898928571428561E-3</v>
      </c>
      <c r="AM63" t="str">
        <f ca="1"/>
        <v>DVA</v>
      </c>
      <c r="AN63" s="310">
        <f ca="1"/>
        <v>-2.8603171555241974E-2</v>
      </c>
      <c r="AO63" t="str">
        <f ca="1"/>
        <v>DVA</v>
      </c>
      <c r="AP63" s="310">
        <f ca="1"/>
        <v>2.6924427326170758E-2</v>
      </c>
      <c r="AQ63" s="87" t="str">
        <f ca="1"/>
        <v>MVEORA</v>
      </c>
      <c r="AR63" s="90">
        <f ca="1"/>
        <v>-5.525136884021916E-2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POET</v>
      </c>
      <c r="F64" s="559">
        <f ca="1"/>
        <v>0.54843184414934687</v>
      </c>
      <c r="G64" s="153" t="str">
        <f ca="1"/>
        <v>EPIX</v>
      </c>
      <c r="H64" s="560">
        <f ca="1"/>
        <v>-332.2355999999927</v>
      </c>
      <c r="I64" t="str">
        <f ca="1"/>
        <v>C</v>
      </c>
      <c r="J64" s="561">
        <f ca="1"/>
        <v>-3.2719999999999997E-3</v>
      </c>
      <c r="K64" s="153" t="str">
        <f ca="1"/>
        <v>C</v>
      </c>
      <c r="L64" s="561">
        <f ca="1"/>
        <v>-3.2719999999999997E-3</v>
      </c>
      <c r="M64" s="1" t="str">
        <f ca="1"/>
        <v>NVAX</v>
      </c>
      <c r="N64" s="560">
        <f ca="1"/>
        <v>-6390.8999999999924</v>
      </c>
      <c r="O64" t="str">
        <f ca="1"/>
        <v>EZJ</v>
      </c>
      <c r="P64" s="560">
        <f ca="1"/>
        <v>-2413.7080000000046</v>
      </c>
      <c r="Q64" t="str">
        <f ca="1"/>
        <v>TSLA</v>
      </c>
      <c r="R64" s="650">
        <f ca="1"/>
        <v>-4.5635494047619046E-3</v>
      </c>
      <c r="S64" t="str">
        <f ca="1"/>
        <v>SAFIAG</v>
      </c>
      <c r="T64" s="87">
        <f ca="1"/>
        <v>0</v>
      </c>
      <c r="U64" t="str">
        <f ca="1"/>
        <v>MVERWE</v>
      </c>
      <c r="V64" s="87">
        <f ca="1"/>
        <v>-0.86000000000000654</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TSM</v>
      </c>
      <c r="AH64" s="87">
        <f ca="1"/>
        <v>-441.9999999999618</v>
      </c>
      <c r="AI64" t="str">
        <f ca="1"/>
        <v>ENI</v>
      </c>
      <c r="AJ64" s="87">
        <f ca="1"/>
        <v>-360.00000000000477</v>
      </c>
      <c r="AK64" s="90" t="str">
        <f ca="1"/>
        <v>TSLA</v>
      </c>
      <c r="AL64" s="310">
        <f ca="1"/>
        <v>-4.5635494047619046E-3</v>
      </c>
      <c r="AM64" t="str">
        <f ca="1"/>
        <v>KR</v>
      </c>
      <c r="AN64" s="310">
        <f ca="1"/>
        <v>-2.9011064097139449E-2</v>
      </c>
      <c r="AO64" t="str">
        <f ca="1"/>
        <v>KR</v>
      </c>
      <c r="AP64" s="310">
        <f ca="1"/>
        <v>2.7358070586681674E-2</v>
      </c>
      <c r="AQ64" s="87" t="str">
        <f ca="1"/>
        <v>MVEDDD</v>
      </c>
      <c r="AR64" s="90">
        <f ca="1"/>
        <v>-7.8717201166180792E-2</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DDD</v>
      </c>
      <c r="F65" s="559">
        <f ca="1"/>
        <v>0.54788075577674089</v>
      </c>
      <c r="G65" s="153" t="str">
        <f ca="1"/>
        <v>MVEUN0</v>
      </c>
      <c r="H65" s="560">
        <f ca="1"/>
        <v>-959.59150000000227</v>
      </c>
      <c r="I65" t="str">
        <f ca="1"/>
        <v>VTRS</v>
      </c>
      <c r="J65" s="561">
        <f ca="1"/>
        <v>-3.4620000000000002E-3</v>
      </c>
      <c r="K65" s="153" t="str">
        <f ca="1"/>
        <v>VTRS</v>
      </c>
      <c r="L65" s="561">
        <f ca="1"/>
        <v>-3.4620000000000002E-3</v>
      </c>
      <c r="M65" s="1" t="str">
        <f ca="1"/>
        <v>XYZ</v>
      </c>
      <c r="N65" s="560">
        <f ca="1"/>
        <v>-6852.0000000000009</v>
      </c>
      <c r="O65" t="str">
        <f ca="1"/>
        <v>PW</v>
      </c>
      <c r="P65" s="560">
        <f ca="1"/>
        <v>-2638.4022720000003</v>
      </c>
      <c r="Q65" t="str">
        <f ca="1"/>
        <v>RWE</v>
      </c>
      <c r="R65" s="650">
        <f ca="1"/>
        <v>-4.6476369047619053E-3</v>
      </c>
      <c r="S65" t="str">
        <f ca="1"/>
        <v>F</v>
      </c>
      <c r="T65" s="87">
        <f ca="1"/>
        <v>0</v>
      </c>
      <c r="U65" t="str">
        <f ca="1"/>
        <v>MVEEOAN</v>
      </c>
      <c r="V65" s="87">
        <f ca="1"/>
        <v>-2.1499999999999773</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MVEORA</v>
      </c>
      <c r="AH65" s="87">
        <f ca="1"/>
        <v>-555.00000000000148</v>
      </c>
      <c r="AI65" t="str">
        <f ca="1"/>
        <v>MVEORA</v>
      </c>
      <c r="AJ65" s="87">
        <f ca="1"/>
        <v>-503.99999999999989</v>
      </c>
      <c r="AK65" s="90" t="str">
        <f ca="1"/>
        <v>RWE</v>
      </c>
      <c r="AL65" s="310">
        <f ca="1"/>
        <v>-4.6476369047619053E-3</v>
      </c>
      <c r="AM65" t="str">
        <f ca="1"/>
        <v>DIS</v>
      </c>
      <c r="AN65" s="310">
        <f ca="1"/>
        <v>-3.3463138233805173E-2</v>
      </c>
      <c r="AO65" t="str">
        <f ca="1"/>
        <v>DIS</v>
      </c>
      <c r="AP65" s="310">
        <f ca="1"/>
        <v>3.2115072699358746E-2</v>
      </c>
      <c r="AQ65" s="87" t="str">
        <f ca="1"/>
        <v>XPER</v>
      </c>
      <c r="AR65" s="90">
        <f ca="1"/>
        <v>-0.11463187325256392</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MVEDDD</v>
      </c>
      <c r="F66" s="559">
        <f ca="1"/>
        <v>0.54788075577674089</v>
      </c>
      <c r="G66" s="153" t="str">
        <f ca="1"/>
        <v>PW</v>
      </c>
      <c r="H66" s="560">
        <f ca="1"/>
        <v>-7910.1429999999964</v>
      </c>
      <c r="I66" t="str">
        <f ca="1"/>
        <v>MA</v>
      </c>
      <c r="J66" s="561">
        <f ca="1"/>
        <v>-3.5790000000000001E-3</v>
      </c>
      <c r="K66" s="153" t="str">
        <f ca="1"/>
        <v>MA</v>
      </c>
      <c r="L66" s="561">
        <f ca="1"/>
        <v>-3.5790000000000001E-3</v>
      </c>
      <c r="M66" s="1" t="str">
        <f ca="1"/>
        <v>MVEGLE</v>
      </c>
      <c r="N66" s="560">
        <f ca="1"/>
        <v>-7144.9999999999891</v>
      </c>
      <c r="O66" t="str">
        <f ca="1"/>
        <v>HPQ</v>
      </c>
      <c r="P66" s="560">
        <f ca="1"/>
        <v>-2717.9150000000013</v>
      </c>
      <c r="Q66" t="str">
        <f ca="1"/>
        <v>MVESAP</v>
      </c>
      <c r="R66" s="650">
        <f ca="1"/>
        <v>-4.6476369047619053E-3</v>
      </c>
      <c r="S66" t="str">
        <f ca="1"/>
        <v>GLE</v>
      </c>
      <c r="T66" s="87">
        <f ca="1"/>
        <v>0</v>
      </c>
      <c r="U66" t="str">
        <f ca="1"/>
        <v>LUMN</v>
      </c>
      <c r="V66" s="87">
        <f ca="1"/>
        <v>-10.799999999999997</v>
      </c>
      <c r="W66" t="str">
        <f ca="1"/>
        <v>EZJ</v>
      </c>
      <c r="X66">
        <f ca="1"/>
        <v>18</v>
      </c>
      <c r="Y66" t="str">
        <f ca="1"/>
        <v>NVS</v>
      </c>
      <c r="Z66">
        <f ca="1"/>
        <v>12</v>
      </c>
      <c r="AA66" t="str">
        <f ca="1"/>
        <v>VLVLY</v>
      </c>
      <c r="AB66">
        <f ca="1"/>
        <v>42</v>
      </c>
      <c r="AC66" t="str">
        <f ca="1"/>
        <v>LUV</v>
      </c>
      <c r="AD66">
        <f ca="1"/>
        <v>41</v>
      </c>
      <c r="AE66" t="str">
        <f ca="1"/>
        <v>DVA</v>
      </c>
      <c r="AF66" s="87">
        <f ca="1"/>
        <v>-55690.290000000066</v>
      </c>
      <c r="AG66" t="str">
        <f ca="1"/>
        <v>VLVLY</v>
      </c>
      <c r="AH66" s="87">
        <f ca="1"/>
        <v>-875.25000000000114</v>
      </c>
      <c r="AI66" t="str">
        <f ca="1"/>
        <v>PROF</v>
      </c>
      <c r="AJ66" s="87">
        <f ca="1"/>
        <v>-629.99999999999898</v>
      </c>
      <c r="AK66" s="90" t="str">
        <f ca="1"/>
        <v>MVESAP</v>
      </c>
      <c r="AL66" s="310">
        <f ca="1"/>
        <v>-4.6476369047619053E-3</v>
      </c>
      <c r="AM66" t="str">
        <f ca="1"/>
        <v>POET</v>
      </c>
      <c r="AN66" s="310">
        <f ca="1"/>
        <v>-6.1897638264679318E-2</v>
      </c>
      <c r="AO66" t="str">
        <f ca="1"/>
        <v>POET</v>
      </c>
      <c r="AP66" s="310">
        <f ca="1"/>
        <v>6.3565133084070025E-2</v>
      </c>
      <c r="AQ66" s="87" t="str">
        <f ca="1"/>
        <v>OXY</v>
      </c>
      <c r="AR66" s="90">
        <f ca="1"/>
        <v>-0.19621417118561618</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SAFDDD</v>
      </c>
      <c r="F67" s="559">
        <f ca="1"/>
        <v>0.54788075577674089</v>
      </c>
      <c r="G67" s="153" t="str">
        <f ca="1"/>
        <v>SAP</v>
      </c>
      <c r="H67" s="560">
        <f ca="1"/>
        <v>-8896.0250000001397</v>
      </c>
      <c r="I67" t="str">
        <f ca="1"/>
        <v>RWE</v>
      </c>
      <c r="J67" s="561">
        <f ca="1"/>
        <v>-4.1770000000000002E-3</v>
      </c>
      <c r="K67" s="153" t="str">
        <f ca="1"/>
        <v>RWE</v>
      </c>
      <c r="L67" s="561">
        <f ca="1"/>
        <v>-4.1770000000000002E-3</v>
      </c>
      <c r="M67" s="1" t="str">
        <f ca="1"/>
        <v>MVEUN0</v>
      </c>
      <c r="N67" s="560">
        <f ca="1"/>
        <v>-7526.755000000001</v>
      </c>
      <c r="O67" t="str">
        <f ca="1"/>
        <v>IAG</v>
      </c>
      <c r="P67" s="560">
        <f ca="1"/>
        <v>-2754.8188000000005</v>
      </c>
      <c r="Q67" t="str">
        <f ca="1"/>
        <v>AMZN</v>
      </c>
      <c r="R67" s="650">
        <f ca="1"/>
        <v>-4.9345773809523815E-3</v>
      </c>
      <c r="S67" t="str">
        <f ca="1"/>
        <v>GS</v>
      </c>
      <c r="T67" s="87">
        <f ca="1"/>
        <v>0</v>
      </c>
      <c r="U67" t="str">
        <f ca="1"/>
        <v>TSLA</v>
      </c>
      <c r="V67" s="87">
        <f ca="1"/>
        <v>-13.345000000000084</v>
      </c>
      <c r="W67" t="str">
        <f ca="1"/>
        <v>LAZR</v>
      </c>
      <c r="X67">
        <f ca="1"/>
        <v>18</v>
      </c>
      <c r="Y67" t="str">
        <f ca="1"/>
        <v>THC</v>
      </c>
      <c r="Z67">
        <f ca="1"/>
        <v>12</v>
      </c>
      <c r="AA67" t="str">
        <f ca="1"/>
        <v>MVEGLE</v>
      </c>
      <c r="AB67">
        <f ca="1"/>
        <v>42</v>
      </c>
      <c r="AC67" t="str">
        <f ca="1"/>
        <v>LOCK</v>
      </c>
      <c r="AD67">
        <f ca="1"/>
        <v>39</v>
      </c>
      <c r="AE67" t="str">
        <f ca="1"/>
        <v>XPER</v>
      </c>
      <c r="AF67" s="87">
        <f ca="1"/>
        <v>-66980.447801999995</v>
      </c>
      <c r="AG67" t="str">
        <f ca="1"/>
        <v>PFE</v>
      </c>
      <c r="AH67" s="87">
        <f ca="1"/>
        <v>-904.00000000000205</v>
      </c>
      <c r="AI67" t="str">
        <f ca="1"/>
        <v>NEE</v>
      </c>
      <c r="AJ67" s="87">
        <f ca="1"/>
        <v>-734.15999999999565</v>
      </c>
      <c r="AK67" s="90" t="str">
        <f ca="1"/>
        <v>AMZN</v>
      </c>
      <c r="AL67" s="310">
        <f ca="1"/>
        <v>-4.9345773809523815E-3</v>
      </c>
      <c r="AM67" t="str">
        <f ca="1"/>
        <v>MVEDDD</v>
      </c>
      <c r="AN67" s="310">
        <f ca="1"/>
        <v>-9.15979591836735E-2</v>
      </c>
      <c r="AO67" t="str">
        <f ca="1"/>
        <v>MVEDDD</v>
      </c>
      <c r="AP67" s="310">
        <f ca="1"/>
        <v>9.8523595505618011E-2</v>
      </c>
      <c r="AQ67" s="87" t="str">
        <f ca="1"/>
        <v>MA</v>
      </c>
      <c r="AR67" s="90">
        <f ca="1"/>
        <v>-0.21094687531627621</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SSYS</v>
      </c>
      <c r="F68" s="559">
        <f ca="1"/>
        <v>0.53756772213783643</v>
      </c>
      <c r="G68" s="153" t="str">
        <f ca="1"/>
        <v>PFE</v>
      </c>
      <c r="H68" s="560">
        <f ca="1"/>
        <v>-8953.0780000000013</v>
      </c>
      <c r="I68" t="str">
        <f ca="1"/>
        <v>MVERWE</v>
      </c>
      <c r="J68" s="561">
        <f ca="1"/>
        <v>-4.1770000000000002E-3</v>
      </c>
      <c r="K68" s="153" t="str">
        <f ca="1"/>
        <v>MVERWE</v>
      </c>
      <c r="L68" s="561">
        <f ca="1"/>
        <v>-4.1770000000000002E-3</v>
      </c>
      <c r="M68" s="1" t="str">
        <f ca="1"/>
        <v>KR</v>
      </c>
      <c r="N68" s="560">
        <f ca="1"/>
        <v>-11666.571428571444</v>
      </c>
      <c r="O68" t="str">
        <f ca="1"/>
        <v>ADEA</v>
      </c>
      <c r="P68" s="560">
        <f ca="1"/>
        <v>-2807.6809999999996</v>
      </c>
      <c r="Q68" t="str">
        <f ca="1"/>
        <v>SAFAMZN</v>
      </c>
      <c r="R68" s="650">
        <f ca="1"/>
        <v>-4.9345773809523815E-3</v>
      </c>
      <c r="S68" t="str">
        <f ca="1"/>
        <v>NVS</v>
      </c>
      <c r="T68" s="87">
        <f ca="1"/>
        <v>0</v>
      </c>
      <c r="U68" t="str">
        <f ca="1"/>
        <v>RWE</v>
      </c>
      <c r="V68" s="87">
        <f ca="1"/>
        <v>-43</v>
      </c>
      <c r="W68" t="str">
        <f ca="1"/>
        <v>BLDP</v>
      </c>
      <c r="X68">
        <f ca="1"/>
        <v>19</v>
      </c>
      <c r="Y68" t="str">
        <f ca="1"/>
        <v>AZN</v>
      </c>
      <c r="Z68">
        <f ca="1"/>
        <v>14</v>
      </c>
      <c r="AA68" t="str">
        <f ca="1"/>
        <v>GLE</v>
      </c>
      <c r="AB68">
        <f ca="1"/>
        <v>42</v>
      </c>
      <c r="AC68" t="str">
        <f ca="1"/>
        <v>CSCO</v>
      </c>
      <c r="AD68">
        <f ca="1"/>
        <v>36</v>
      </c>
      <c r="AE68" t="str">
        <f ca="1"/>
        <v>HPQ</v>
      </c>
      <c r="AF68" s="87">
        <f ca="1"/>
        <v>-68214.971999999951</v>
      </c>
      <c r="AG68" t="str">
        <f ca="1"/>
        <v>SAFDIS</v>
      </c>
      <c r="AH68" s="87">
        <f ca="1"/>
        <v>-1192.5</v>
      </c>
      <c r="AI68" t="str">
        <f ca="1"/>
        <v>BLDP</v>
      </c>
      <c r="AJ68" s="87">
        <f ca="1"/>
        <v>-809.40000000000009</v>
      </c>
      <c r="AK68" s="90" t="str">
        <f ca="1"/>
        <v>SAFAMZN</v>
      </c>
      <c r="AL68" s="310">
        <f ca="1"/>
        <v>-4.9345773809523815E-3</v>
      </c>
      <c r="AM68" t="str">
        <f ca="1"/>
        <v>AET</v>
      </c>
      <c r="AN68" s="310">
        <f ca="1"/>
        <v>-9.1907083417630486E-2</v>
      </c>
      <c r="AO68" t="str">
        <f ca="1"/>
        <v>AET</v>
      </c>
      <c r="AP68" s="310">
        <f ca="1"/>
        <v>9.8899505666502935E-2</v>
      </c>
      <c r="AQ68" s="87" t="str">
        <f ca="1"/>
        <v>SAFDIS</v>
      </c>
      <c r="AR68" s="90">
        <f ca="1"/>
        <v>-0.22404407859798192</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GM</v>
      </c>
      <c r="F69" s="559">
        <f ca="1"/>
        <v>0.5369764209337996</v>
      </c>
      <c r="G69" s="153" t="str">
        <f ca="1"/>
        <v>DSY</v>
      </c>
      <c r="H69" s="560">
        <f ca="1"/>
        <v>-12487.592000000062</v>
      </c>
      <c r="I69" t="str">
        <f ca="1"/>
        <v>AAPL</v>
      </c>
      <c r="J69" s="561">
        <f ca="1"/>
        <v>-6.5719999999999997E-3</v>
      </c>
      <c r="K69" s="153" t="str">
        <f ca="1"/>
        <v>AAPL</v>
      </c>
      <c r="L69" s="561">
        <f ca="1"/>
        <v>-6.5719999999999997E-3</v>
      </c>
      <c r="M69" s="1" t="str">
        <f ca="1"/>
        <v>MVESAP</v>
      </c>
      <c r="N69" s="560">
        <f ca="1"/>
        <v>-15887.23</v>
      </c>
      <c r="O69" t="str">
        <f ca="1"/>
        <v>RIGL</v>
      </c>
      <c r="P69" s="560">
        <f ca="1"/>
        <v>-3790.1199999999972</v>
      </c>
      <c r="Q69" t="str">
        <f ca="1"/>
        <v>LNSR</v>
      </c>
      <c r="R69" s="650">
        <f ca="1"/>
        <v>-4.9468690476190454E-3</v>
      </c>
      <c r="S69" t="str">
        <f ca="1"/>
        <v>RRC</v>
      </c>
      <c r="T69" s="87">
        <f ca="1"/>
        <v>0</v>
      </c>
      <c r="U69" t="str">
        <f ca="1"/>
        <v>EOAN</v>
      </c>
      <c r="V69" s="87">
        <f ca="1"/>
        <v>-118.25</v>
      </c>
      <c r="W69" t="str">
        <f ca="1"/>
        <v>DIS</v>
      </c>
      <c r="X69">
        <f ca="1"/>
        <v>19</v>
      </c>
      <c r="Y69" t="str">
        <f ca="1"/>
        <v>GM</v>
      </c>
      <c r="Z69">
        <f ca="1"/>
        <v>14</v>
      </c>
      <c r="AA69" t="str">
        <f ca="1"/>
        <v>LOCK</v>
      </c>
      <c r="AB69">
        <f ca="1"/>
        <v>42</v>
      </c>
      <c r="AC69" t="str">
        <f ca="1"/>
        <v>RWE</v>
      </c>
      <c r="AD69">
        <f ca="1"/>
        <v>36</v>
      </c>
      <c r="AE69" t="str">
        <f ca="1"/>
        <v>LAZR</v>
      </c>
      <c r="AF69" s="87">
        <f ca="1"/>
        <v>-83714.349975999998</v>
      </c>
      <c r="AG69" t="str">
        <f ca="1"/>
        <v>HPQ</v>
      </c>
      <c r="AH69" s="87">
        <f ca="1"/>
        <v>-1315.0000000000014</v>
      </c>
      <c r="AI69" t="str">
        <f ca="1"/>
        <v>CVS</v>
      </c>
      <c r="AJ69" s="87">
        <f ca="1"/>
        <v>-1034.5950000000003</v>
      </c>
      <c r="AK69" s="90" t="str">
        <f ca="1"/>
        <v>LNSR</v>
      </c>
      <c r="AL69" s="310">
        <f ca="1"/>
        <v>-4.9468690476190454E-3</v>
      </c>
      <c r="AM69" t="str">
        <f ca="1"/>
        <v>SAP</v>
      </c>
      <c r="AN69" s="310">
        <f ca="1"/>
        <v>-0.10318050315776207</v>
      </c>
      <c r="AO69" t="str">
        <f ca="1"/>
        <v>SAP</v>
      </c>
      <c r="AP69" s="310">
        <f ca="1"/>
        <v>0.1127861032130522</v>
      </c>
      <c r="AQ69" s="87" t="str">
        <f ca="1"/>
        <v>ALDNE</v>
      </c>
      <c r="AR69" s="90">
        <f ca="1"/>
        <v>-0.24813895781637721</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SAFGM</v>
      </c>
      <c r="F70" s="559">
        <f ca="1"/>
        <v>0.5369764209337996</v>
      </c>
      <c r="G70" s="153" t="str">
        <f ca="1"/>
        <v>F</v>
      </c>
      <c r="H70" s="560">
        <f ca="1"/>
        <v>-12620</v>
      </c>
      <c r="I70" t="str">
        <f ca="1"/>
        <v>SAFAAPL</v>
      </c>
      <c r="J70" s="561">
        <f ca="1"/>
        <v>-6.5719999999999997E-3</v>
      </c>
      <c r="K70" s="153" t="str">
        <f ca="1"/>
        <v>SAFAAPL</v>
      </c>
      <c r="L70" s="561">
        <f ca="1"/>
        <v>-6.5719999999999997E-3</v>
      </c>
      <c r="M70" s="1" t="str">
        <f ca="1"/>
        <v>POET</v>
      </c>
      <c r="N70" s="560">
        <f ca="1"/>
        <v>-15988.506666666646</v>
      </c>
      <c r="O70" t="str">
        <f ca="1"/>
        <v>BLNK</v>
      </c>
      <c r="P70" s="560">
        <f ca="1"/>
        <v>-3831.2128799999978</v>
      </c>
      <c r="Q70" t="str">
        <f ca="1"/>
        <v>CSCO</v>
      </c>
      <c r="R70" s="650">
        <f ca="1"/>
        <v>-5.1113488095238099E-3</v>
      </c>
      <c r="S70" t="str">
        <f ca="1"/>
        <v>JBEOAN</v>
      </c>
      <c r="T70" s="87">
        <f ca="1"/>
        <v>0</v>
      </c>
      <c r="U70" t="str">
        <f ca="1"/>
        <v>HPQ</v>
      </c>
      <c r="V70" s="87">
        <f ca="1"/>
        <v>-400</v>
      </c>
      <c r="W70" t="str">
        <f ca="1"/>
        <v>MRNA</v>
      </c>
      <c r="X70">
        <f ca="1"/>
        <v>19</v>
      </c>
      <c r="Y70" t="str">
        <f ca="1"/>
        <v>MVEENI</v>
      </c>
      <c r="Z70">
        <f ca="1"/>
        <v>14</v>
      </c>
      <c r="AA70" t="str">
        <f ca="1"/>
        <v>PAAS</v>
      </c>
      <c r="AB70">
        <f ca="1"/>
        <v>41</v>
      </c>
      <c r="AC70" t="str">
        <f ca="1"/>
        <v>MVESAP</v>
      </c>
      <c r="AD70">
        <f ca="1"/>
        <v>36</v>
      </c>
      <c r="AE70" t="str">
        <f ca="1"/>
        <v>ALDNE</v>
      </c>
      <c r="AF70" s="87">
        <f ca="1"/>
        <v>-86284.773039214313</v>
      </c>
      <c r="AG70" t="str">
        <f ca="1"/>
        <v>SHECY</v>
      </c>
      <c r="AH70" s="87">
        <f ca="1"/>
        <v>-1342.3199999999995</v>
      </c>
      <c r="AI70" t="str">
        <f ca="1"/>
        <v>SAFAAPL</v>
      </c>
      <c r="AJ70" s="87">
        <f ca="1"/>
        <v>-1199.550000000002</v>
      </c>
      <c r="AK70" s="90" t="str">
        <f ca="1"/>
        <v>CSCO</v>
      </c>
      <c r="AL70" s="310">
        <f ca="1"/>
        <v>-5.1113488095238099E-3</v>
      </c>
      <c r="AM70" t="str">
        <f ca="1"/>
        <v>NVAX</v>
      </c>
      <c r="AN70" s="310">
        <f ca="1"/>
        <v>-0.11685341470300303</v>
      </c>
      <c r="AO70" t="str">
        <f ca="1"/>
        <v>NVAX</v>
      </c>
      <c r="AP70" s="310">
        <f ca="1"/>
        <v>0.13010554523085216</v>
      </c>
      <c r="AQ70" s="87" t="str">
        <f ca="1"/>
        <v>AET</v>
      </c>
      <c r="AR70" s="90">
        <f ca="1"/>
        <v>-0.26315789473684165</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HPQ</v>
      </c>
      <c r="F71" s="559">
        <f ca="1"/>
        <v>0.50945639164193712</v>
      </c>
      <c r="G71" s="153" t="str">
        <f ca="1"/>
        <v>POET</v>
      </c>
      <c r="H71" s="560">
        <f ca="1"/>
        <v>-13637.00999999998</v>
      </c>
      <c r="I71" t="str">
        <f ca="1"/>
        <v>SAP</v>
      </c>
      <c r="J71" s="561">
        <f ca="1"/>
        <v>-1.0553E-2</v>
      </c>
      <c r="K71" s="153" t="str">
        <f ca="1"/>
        <v>SAP</v>
      </c>
      <c r="L71" s="561">
        <f ca="1"/>
        <v>-1.0553E-2</v>
      </c>
      <c r="M71" s="1" t="str">
        <f ca="1"/>
        <v>DXC</v>
      </c>
      <c r="N71" s="560">
        <f ca="1"/>
        <v>-16004.999999999993</v>
      </c>
      <c r="O71" t="str">
        <f ca="1"/>
        <v>MSFT</v>
      </c>
      <c r="P71" s="560">
        <f ca="1"/>
        <v>-3933.2468999999942</v>
      </c>
      <c r="Q71" t="str">
        <f ca="1"/>
        <v>XPER</v>
      </c>
      <c r="R71" s="650">
        <f ca="1"/>
        <v>-5.145547619047619E-3</v>
      </c>
      <c r="S71" t="str">
        <f ca="1"/>
        <v>CVS</v>
      </c>
      <c r="T71" s="87">
        <f ca="1"/>
        <v>-0.14999999999999147</v>
      </c>
      <c r="U71" t="str">
        <f ca="1"/>
        <v>SAFAAPL</v>
      </c>
      <c r="V71" s="87">
        <f ca="1"/>
        <v>-625.79999999998836</v>
      </c>
      <c r="W71" t="str">
        <f ca="1"/>
        <v>NFLX</v>
      </c>
      <c r="X71">
        <f ca="1"/>
        <v>19</v>
      </c>
      <c r="Y71" t="str">
        <f ca="1"/>
        <v>ENI</v>
      </c>
      <c r="Z71">
        <f ca="1"/>
        <v>14</v>
      </c>
      <c r="AA71" t="str">
        <f ca="1"/>
        <v>NVAX</v>
      </c>
      <c r="AB71">
        <f ca="1"/>
        <v>41</v>
      </c>
      <c r="AC71" t="str">
        <f ca="1"/>
        <v>NVS</v>
      </c>
      <c r="AD71">
        <f ca="1"/>
        <v>35</v>
      </c>
      <c r="AE71" t="str">
        <f ca="1"/>
        <v>XYZ</v>
      </c>
      <c r="AF71" s="87">
        <f ca="1"/>
        <v>-89038.818700000033</v>
      </c>
      <c r="AG71" t="str">
        <f ca="1"/>
        <v>MA</v>
      </c>
      <c r="AH71" s="87">
        <f ca="1"/>
        <v>-1459.0000000000032</v>
      </c>
      <c r="AI71" t="str">
        <f ca="1"/>
        <v>CSCO</v>
      </c>
      <c r="AJ71" s="87">
        <f ca="1"/>
        <v>-1584.9999999999936</v>
      </c>
      <c r="AK71" s="90" t="str">
        <f ca="1"/>
        <v>XPER</v>
      </c>
      <c r="AL71" s="310">
        <f ca="1"/>
        <v>-5.145547619047619E-3</v>
      </c>
      <c r="AM71" t="str">
        <f ca="1"/>
        <v>SHECY</v>
      </c>
      <c r="AN71" s="310">
        <f ca="1"/>
        <v>-0.12604328510255755</v>
      </c>
      <c r="AO71" t="str">
        <f ca="1"/>
        <v>SHECY</v>
      </c>
      <c r="AP71" s="310">
        <f ca="1"/>
        <v>0.14205176310415268</v>
      </c>
      <c r="AQ71" s="87" t="str">
        <f ca="1"/>
        <v>DIS</v>
      </c>
      <c r="AR71" s="90">
        <f ca="1"/>
        <v>-0.27674572731106728</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HPE</v>
      </c>
      <c r="F72" s="559">
        <f ca="1"/>
        <v>0.50246663956149196</v>
      </c>
      <c r="G72" s="153" t="str">
        <f ca="1"/>
        <v>LNSR</v>
      </c>
      <c r="H72" s="560">
        <f ca="1"/>
        <v>-16028.984799999995</v>
      </c>
      <c r="I72" t="str">
        <f ca="1"/>
        <v>MVESAP</v>
      </c>
      <c r="J72" s="561">
        <f ca="1"/>
        <v>-1.0553E-2</v>
      </c>
      <c r="K72" s="153" t="str">
        <f ca="1"/>
        <v>MVESAP</v>
      </c>
      <c r="L72" s="561">
        <f ca="1"/>
        <v>-1.0553E-2</v>
      </c>
      <c r="M72" s="1" t="str">
        <f ca="1"/>
        <v>XPER</v>
      </c>
      <c r="N72" s="560">
        <f ca="1"/>
        <v>-16683.000000000004</v>
      </c>
      <c r="O72" t="str">
        <f ca="1"/>
        <v>ASML</v>
      </c>
      <c r="P72" s="560">
        <f ca="1"/>
        <v>-3934.7430000000045</v>
      </c>
      <c r="Q72" t="str">
        <f ca="1"/>
        <v>VTRS</v>
      </c>
      <c r="R72" s="650">
        <f ca="1"/>
        <v>-5.5099499999999996E-3</v>
      </c>
      <c r="S72" t="str">
        <f ca="1"/>
        <v>MVERWE</v>
      </c>
      <c r="T72" s="87">
        <f ca="1"/>
        <v>-0.20000000000000284</v>
      </c>
      <c r="U72" t="str">
        <f ca="1"/>
        <v>RIGL</v>
      </c>
      <c r="V72" s="87">
        <f ca="1"/>
        <v>-780</v>
      </c>
      <c r="W72" t="str">
        <f ca="1"/>
        <v>PROF</v>
      </c>
      <c r="X72">
        <f ca="1"/>
        <v>19</v>
      </c>
      <c r="Y72" t="str">
        <f ca="1"/>
        <v>AAPL</v>
      </c>
      <c r="Z72">
        <f ca="1"/>
        <v>15</v>
      </c>
      <c r="AA72" t="str">
        <f ca="1"/>
        <v>NOTE</v>
      </c>
      <c r="AB72">
        <f ca="1"/>
        <v>40</v>
      </c>
      <c r="AC72" t="str">
        <f ca="1"/>
        <v>AZN</v>
      </c>
      <c r="AD72">
        <f ca="1"/>
        <v>34</v>
      </c>
      <c r="AE72" t="str">
        <f ca="1"/>
        <v>DDD</v>
      </c>
      <c r="AF72" s="87">
        <f ca="1"/>
        <v>-97142.073000000033</v>
      </c>
      <c r="AG72" t="str">
        <f ca="1"/>
        <v>PAAS</v>
      </c>
      <c r="AH72" s="87">
        <f ca="1"/>
        <v>-1500.1499999999944</v>
      </c>
      <c r="AI72" t="str">
        <f ca="1"/>
        <v>WBA</v>
      </c>
      <c r="AJ72" s="87">
        <f ca="1"/>
        <v>-2915.6000000000049</v>
      </c>
      <c r="AK72" s="90" t="str">
        <f ca="1"/>
        <v>VTRS</v>
      </c>
      <c r="AL72" s="310">
        <f ca="1"/>
        <v>-5.5099499999999996E-3</v>
      </c>
      <c r="AM72" t="str">
        <f ca="1"/>
        <v>GNRC</v>
      </c>
      <c r="AN72" s="310">
        <f ca="1"/>
        <v>-0.14507391368426215</v>
      </c>
      <c r="AO72" t="str">
        <f ca="1"/>
        <v>GNRC</v>
      </c>
      <c r="AP72" s="310">
        <f ca="1"/>
        <v>0.16760940226217672</v>
      </c>
      <c r="AQ72" s="87" t="str">
        <f ca="1"/>
        <v>NVAX</v>
      </c>
      <c r="AR72" s="90">
        <f ca="1"/>
        <v>-0.28328934305155334</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F</v>
      </c>
      <c r="F73" s="559">
        <f ca="1"/>
        <v>0.50174709695241093</v>
      </c>
      <c r="G73" s="153" t="str">
        <f ca="1"/>
        <v>LUV</v>
      </c>
      <c r="H73" s="560">
        <f ca="1"/>
        <v>-18962.450000000004</v>
      </c>
      <c r="I73" t="str">
        <f ca="1"/>
        <v>DDD</v>
      </c>
      <c r="J73" s="561">
        <f ca="1"/>
        <v>-1.1110999999999999E-2</v>
      </c>
      <c r="K73" s="153" t="str">
        <f ca="1"/>
        <v>DDD</v>
      </c>
      <c r="L73" s="561">
        <f ca="1"/>
        <v>-1.1110999999999999E-2</v>
      </c>
      <c r="M73" s="1" t="str">
        <f ca="1"/>
        <v>UNIT</v>
      </c>
      <c r="N73" s="560">
        <f ca="1"/>
        <v>-19787.725000000002</v>
      </c>
      <c r="O73" t="str">
        <f ca="1"/>
        <v>SAFDIS</v>
      </c>
      <c r="P73" s="560">
        <f ca="1"/>
        <v>-4028.6980799999983</v>
      </c>
      <c r="Q73" t="str">
        <f ca="1"/>
        <v>AZN</v>
      </c>
      <c r="R73" s="650">
        <f ca="1"/>
        <v>-6.0857380952380937E-3</v>
      </c>
      <c r="S73" t="str">
        <f ca="1"/>
        <v>LUMN</v>
      </c>
      <c r="T73" s="87">
        <f ca="1"/>
        <v>-3.9500000000000171</v>
      </c>
      <c r="U73" t="str">
        <f ca="1"/>
        <v>MVEALDNE</v>
      </c>
      <c r="V73" s="87">
        <f ca="1"/>
        <v>-1010</v>
      </c>
      <c r="W73" t="str">
        <f ca="1"/>
        <v>SAP</v>
      </c>
      <c r="X73">
        <f ca="1"/>
        <v>19</v>
      </c>
      <c r="Y73" t="str">
        <f ca="1"/>
        <v>ALDNE</v>
      </c>
      <c r="Z73">
        <f ca="1"/>
        <v>15</v>
      </c>
      <c r="AA73" t="str">
        <f ca="1"/>
        <v>RWE</v>
      </c>
      <c r="AB73">
        <f ca="1"/>
        <v>40</v>
      </c>
      <c r="AC73" t="str">
        <f ca="1"/>
        <v>NEE</v>
      </c>
      <c r="AD73">
        <f ca="1"/>
        <v>34</v>
      </c>
      <c r="AE73" t="str">
        <f ca="1"/>
        <v>MVEORA</v>
      </c>
      <c r="AF73" s="87">
        <f ca="1"/>
        <v>-99445.069680000001</v>
      </c>
      <c r="AG73" t="str">
        <f ca="1"/>
        <v>ALDNE</v>
      </c>
      <c r="AH73" s="87">
        <f ca="1"/>
        <v>-2250.0000000000005</v>
      </c>
      <c r="AI73" t="str">
        <f ca="1"/>
        <v>MVEENI</v>
      </c>
      <c r="AJ73" s="87">
        <f ca="1"/>
        <v>-3248.0000000000045</v>
      </c>
      <c r="AK73" s="90" t="str">
        <f ca="1"/>
        <v>AZN</v>
      </c>
      <c r="AL73" s="310">
        <f ca="1"/>
        <v>-6.0857380952380937E-3</v>
      </c>
      <c r="AM73" t="str">
        <f ca="1"/>
        <v>XYZ</v>
      </c>
      <c r="AN73" s="310">
        <f ca="1"/>
        <v>-0.14804143488432547</v>
      </c>
      <c r="AO73" t="str">
        <f ca="1"/>
        <v>XYZ</v>
      </c>
      <c r="AP73" s="310">
        <f ca="1"/>
        <v>0.17169792429792435</v>
      </c>
      <c r="AQ73" s="87" t="str">
        <f ca="1"/>
        <v>DXC</v>
      </c>
      <c r="AR73" s="90">
        <f ca="1"/>
        <v>-0.29765826955243541</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RRC</v>
      </c>
      <c r="F74" s="559">
        <f ca="1"/>
        <v>0.49833028033451637</v>
      </c>
      <c r="G74" s="153" t="str">
        <f ca="1"/>
        <v>UNIT</v>
      </c>
      <c r="H74" s="560">
        <f ca="1"/>
        <v>-19787.724999999999</v>
      </c>
      <c r="I74" t="str">
        <f ca="1"/>
        <v>MVEDDD</v>
      </c>
      <c r="J74" s="561">
        <f ca="1"/>
        <v>-1.1110999999999999E-2</v>
      </c>
      <c r="K74" s="153" t="str">
        <f ca="1"/>
        <v>MVEDDD</v>
      </c>
      <c r="L74" s="561">
        <f ca="1"/>
        <v>-1.1110999999999999E-2</v>
      </c>
      <c r="M74" s="1" t="str">
        <f ca="1"/>
        <v>GNRC</v>
      </c>
      <c r="N74" s="560">
        <f ca="1"/>
        <v>-23685.999999999985</v>
      </c>
      <c r="O74" t="str">
        <f ca="1"/>
        <v>MA</v>
      </c>
      <c r="P74" s="560">
        <f ca="1"/>
        <v>-4127.2411999999995</v>
      </c>
      <c r="Q74" t="str">
        <f ca="1"/>
        <v>EPIX</v>
      </c>
      <c r="R74" s="650">
        <f ca="1"/>
        <v>-6.5918333333333332E-3</v>
      </c>
      <c r="S74" t="str">
        <f ca="1"/>
        <v>TSLA</v>
      </c>
      <c r="T74" s="87">
        <f ca="1"/>
        <v>-7.57000000000005</v>
      </c>
      <c r="U74" t="str">
        <f ca="1"/>
        <v>EZJ</v>
      </c>
      <c r="V74" s="87">
        <f ca="1"/>
        <v>-1380</v>
      </c>
      <c r="W74" t="str">
        <f ca="1"/>
        <v>SHECY</v>
      </c>
      <c r="X74">
        <f ca="1"/>
        <v>19</v>
      </c>
      <c r="Y74" t="str">
        <f ca="1"/>
        <v>RWE</v>
      </c>
      <c r="Z74">
        <f ca="1"/>
        <v>15</v>
      </c>
      <c r="AA74" t="str">
        <f ca="1"/>
        <v>SHECY</v>
      </c>
      <c r="AB74">
        <f ca="1"/>
        <v>40</v>
      </c>
      <c r="AC74" t="str">
        <f ca="1"/>
        <v>XYZ</v>
      </c>
      <c r="AD74">
        <f ca="1"/>
        <v>34</v>
      </c>
      <c r="AE74" t="str">
        <f ca="1"/>
        <v>UN0</v>
      </c>
      <c r="AF74" s="87">
        <f ca="1"/>
        <v>-104308.77060000002</v>
      </c>
      <c r="AG74" t="str">
        <f ca="1"/>
        <v>MVEDDD</v>
      </c>
      <c r="AH74" s="87">
        <f ca="1"/>
        <v>-2250.0000000000009</v>
      </c>
      <c r="AI74" t="str">
        <f ca="1"/>
        <v>F</v>
      </c>
      <c r="AJ74" s="87">
        <f ca="1"/>
        <v>-3555.0000000000014</v>
      </c>
      <c r="AK74" s="90" t="str">
        <f ca="1"/>
        <v>EPIX</v>
      </c>
      <c r="AL74" s="310">
        <f ca="1"/>
        <v>-6.5918333333333332E-3</v>
      </c>
      <c r="AM74" t="str">
        <f ca="1"/>
        <v>MVESAP</v>
      </c>
      <c r="AN74" s="310">
        <f ca="1"/>
        <v>-0.15480145929852693</v>
      </c>
      <c r="AO74" t="str">
        <f ca="1"/>
        <v>MVESAP</v>
      </c>
      <c r="AP74" s="310">
        <f ca="1"/>
        <v>0.18111911630615091</v>
      </c>
      <c r="AQ74" s="87" t="str">
        <f ca="1"/>
        <v>MSFT</v>
      </c>
      <c r="AR74" s="90">
        <f ca="1"/>
        <v>-0.45400229647938156</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PAAS</v>
      </c>
      <c r="F75" s="559">
        <f ca="1"/>
        <v>0.4777762763177395</v>
      </c>
      <c r="G75" s="153" t="str">
        <f ca="1"/>
        <v>WBA</v>
      </c>
      <c r="H75" s="560">
        <f ca="1"/>
        <v>-21661.755000000005</v>
      </c>
      <c r="I75" t="str">
        <f ca="1"/>
        <v>SAFDDD</v>
      </c>
      <c r="J75" s="561">
        <f ca="1"/>
        <v>-1.1110999999999999E-2</v>
      </c>
      <c r="K75" s="153" t="str">
        <f ca="1"/>
        <v>SAFDDD</v>
      </c>
      <c r="L75" s="561">
        <f ca="1"/>
        <v>-1.1110999999999999E-2</v>
      </c>
      <c r="M75" s="1" t="str">
        <f ca="1"/>
        <v>VONN</v>
      </c>
      <c r="N75" s="560">
        <f ca="1"/>
        <v>-24322.222222222223</v>
      </c>
      <c r="O75" t="str">
        <f ca="1"/>
        <v>SAP</v>
      </c>
      <c r="P75" s="560">
        <f ca="1"/>
        <v>-4418.4820000000009</v>
      </c>
      <c r="Q75" t="str">
        <f ca="1"/>
        <v>SAFGM</v>
      </c>
      <c r="R75" s="650">
        <f ca="1"/>
        <v>-6.5918333333333332E-3</v>
      </c>
      <c r="S75" t="str">
        <f ca="1"/>
        <v>RWE</v>
      </c>
      <c r="T75" s="87">
        <f ca="1"/>
        <v>-10</v>
      </c>
      <c r="U75" t="str">
        <f ca="1"/>
        <v>MVESAP</v>
      </c>
      <c r="V75" s="87">
        <f ca="1"/>
        <v>-1684.1999999999825</v>
      </c>
      <c r="W75" t="str">
        <f ca="1"/>
        <v>TSM</v>
      </c>
      <c r="X75">
        <f ca="1"/>
        <v>19</v>
      </c>
      <c r="Y75" t="str">
        <f ca="1"/>
        <v>MVEALDNE</v>
      </c>
      <c r="Z75">
        <f ca="1"/>
        <v>15</v>
      </c>
      <c r="AA75" t="str">
        <f ca="1"/>
        <v>MVESAP</v>
      </c>
      <c r="AB75">
        <f ca="1"/>
        <v>40</v>
      </c>
      <c r="AC75" t="str">
        <f ca="1"/>
        <v>HPQ</v>
      </c>
      <c r="AD75">
        <f ca="1"/>
        <v>33</v>
      </c>
      <c r="AE75" t="str">
        <f ca="1"/>
        <v>DSY</v>
      </c>
      <c r="AF75" s="87">
        <f ca="1"/>
        <v>-105596.94200000007</v>
      </c>
      <c r="AG75" t="str">
        <f ca="1"/>
        <v>MSFT</v>
      </c>
      <c r="AH75" s="87">
        <f ca="1"/>
        <v>-2430.0000000000068</v>
      </c>
      <c r="AI75" t="str">
        <f ca="1"/>
        <v>LUMN</v>
      </c>
      <c r="AJ75" s="87">
        <f ca="1"/>
        <v>-3648.1499999999996</v>
      </c>
      <c r="AK75" s="90" t="str">
        <f ca="1"/>
        <v>SAFGM</v>
      </c>
      <c r="AL75" s="310">
        <f ca="1"/>
        <v>-6.5918333333333332E-3</v>
      </c>
      <c r="AM75" t="str">
        <f ca="1"/>
        <v>DXC</v>
      </c>
      <c r="AN75" s="310">
        <f ca="1"/>
        <v>-0.16793842512229754</v>
      </c>
      <c r="AO75" t="str">
        <f ca="1"/>
        <v>DXC</v>
      </c>
      <c r="AP75" s="310">
        <f ca="1"/>
        <v>0.19986679316888034</v>
      </c>
      <c r="AQ75" s="87" t="str">
        <f ca="1"/>
        <v>SAFMRNA</v>
      </c>
      <c r="AR75" s="90">
        <f ca="1"/>
        <v>-0.45855475856153244</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BLNK</v>
      </c>
      <c r="F76" s="559">
        <f ca="1"/>
        <v>0.47099359807750735</v>
      </c>
      <c r="G76" s="153" t="str">
        <f ca="1"/>
        <v>MVEEPIX</v>
      </c>
      <c r="H76" s="560">
        <f ca="1"/>
        <v>-28645.599999999999</v>
      </c>
      <c r="I76" t="str">
        <f ca="1"/>
        <v>TSM</v>
      </c>
      <c r="J76" s="561">
        <f ca="1"/>
        <v>-1.172E-2</v>
      </c>
      <c r="K76" s="153" t="str">
        <f ca="1"/>
        <v>TSM</v>
      </c>
      <c r="L76" s="561">
        <f ca="1"/>
        <v>-1.172E-2</v>
      </c>
      <c r="M76" s="1" t="str">
        <f ca="1"/>
        <v>DSY</v>
      </c>
      <c r="N76" s="560">
        <f ca="1"/>
        <v>-26930.000000000007</v>
      </c>
      <c r="O76" t="str">
        <f ca="1"/>
        <v>UN0</v>
      </c>
      <c r="P76" s="560">
        <f ca="1"/>
        <v>-5515.1926192999981</v>
      </c>
      <c r="Q76" t="str">
        <f ca="1"/>
        <v>ASML</v>
      </c>
      <c r="R76" s="650">
        <f ca="1"/>
        <v>-7.0868964285714297E-3</v>
      </c>
      <c r="S76" t="str">
        <f ca="1"/>
        <v>RIGL</v>
      </c>
      <c r="T76" s="87">
        <f ca="1"/>
        <v>-60</v>
      </c>
      <c r="U76" t="str">
        <f ca="1"/>
        <v>CSCO</v>
      </c>
      <c r="V76" s="87">
        <f ca="1"/>
        <v>-1885</v>
      </c>
      <c r="W76" t="str">
        <f ca="1"/>
        <v>VONN</v>
      </c>
      <c r="X76">
        <f ca="1"/>
        <v>19</v>
      </c>
      <c r="Y76" t="str">
        <f ca="1"/>
        <v>MVESAP</v>
      </c>
      <c r="Z76">
        <f ca="1"/>
        <v>15</v>
      </c>
      <c r="AA76" t="str">
        <f ca="1"/>
        <v>HPQ</v>
      </c>
      <c r="AB76">
        <f ca="1"/>
        <v>38</v>
      </c>
      <c r="AC76" t="str">
        <f ca="1"/>
        <v>TSM</v>
      </c>
      <c r="AD76">
        <f ca="1"/>
        <v>33</v>
      </c>
      <c r="AE76" t="str">
        <f ca="1"/>
        <v>KR</v>
      </c>
      <c r="AF76" s="87">
        <f ca="1"/>
        <v>-110549.99000000002</v>
      </c>
      <c r="AG76" t="str">
        <f ca="1"/>
        <v>UN0</v>
      </c>
      <c r="AH76" s="87">
        <f ca="1"/>
        <v>-3059.244999999999</v>
      </c>
      <c r="AI76" t="str">
        <f ca="1"/>
        <v>NEM</v>
      </c>
      <c r="AJ76" s="87">
        <f ca="1"/>
        <v>-3759.9999999999909</v>
      </c>
      <c r="AK76" s="90" t="str">
        <f ca="1"/>
        <v>ASML</v>
      </c>
      <c r="AL76" s="310">
        <f ca="1"/>
        <v>-7.0868964285714297E-3</v>
      </c>
      <c r="AM76" t="str">
        <f ca="1"/>
        <v>XPER</v>
      </c>
      <c r="AN76" s="310">
        <f ca="1"/>
        <v>-0.20128253012048195</v>
      </c>
      <c r="AO76" t="str">
        <f ca="1"/>
        <v>XPER</v>
      </c>
      <c r="AP76" s="310">
        <f ca="1"/>
        <v>0.25023018867924535</v>
      </c>
      <c r="AQ76" s="87" t="str">
        <f ca="1"/>
        <v>MVESAP</v>
      </c>
      <c r="AR76" s="90">
        <f ca="1"/>
        <v>-0.47269083635361292</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PROF</v>
      </c>
      <c r="F77" s="559">
        <f ca="1"/>
        <v>0.46411032434901783</v>
      </c>
      <c r="G77" s="153" t="str">
        <f ca="1"/>
        <v>CVS</v>
      </c>
      <c r="H77" s="560">
        <f ca="1"/>
        <v>-44445.725000000006</v>
      </c>
      <c r="I77" t="str">
        <f ca="1"/>
        <v>EZJ</v>
      </c>
      <c r="J77" s="561">
        <f ca="1"/>
        <v>-1.4838E-2</v>
      </c>
      <c r="K77" s="153" t="str">
        <f ca="1"/>
        <v>EZJ</v>
      </c>
      <c r="L77" s="561">
        <f ca="1"/>
        <v>-1.4838E-2</v>
      </c>
      <c r="M77" s="1" t="str">
        <f ca="1"/>
        <v>MVEEPIX</v>
      </c>
      <c r="N77" s="560">
        <f ca="1"/>
        <v>-28645.599999999999</v>
      </c>
      <c r="O77" t="str">
        <f ca="1"/>
        <v>MVEDDD</v>
      </c>
      <c r="P77" s="560">
        <f ca="1"/>
        <v>-6458.165</v>
      </c>
      <c r="Q77" t="str">
        <f ca="1"/>
        <v>SAFASML</v>
      </c>
      <c r="R77" s="650">
        <f ca="1"/>
        <v>-7.0868964285714297E-3</v>
      </c>
      <c r="S77" t="str">
        <f ca="1"/>
        <v>NVAX</v>
      </c>
      <c r="T77" s="87">
        <f ca="1"/>
        <v>-331.5</v>
      </c>
      <c r="U77" t="str">
        <f ca="1"/>
        <v>XPER</v>
      </c>
      <c r="V77" s="87">
        <f ca="1"/>
        <v>-2065</v>
      </c>
      <c r="W77" t="str">
        <f ca="1"/>
        <v>MVEDSY</v>
      </c>
      <c r="X77">
        <f ca="1"/>
        <v>19</v>
      </c>
      <c r="Y77" t="str">
        <f ca="1"/>
        <v>SAFAAPL</v>
      </c>
      <c r="Z77">
        <f ca="1"/>
        <v>15</v>
      </c>
      <c r="AA77" t="str">
        <f ca="1"/>
        <v>SAFIAG</v>
      </c>
      <c r="AB77">
        <f ca="1"/>
        <v>38</v>
      </c>
      <c r="AC77" t="str">
        <f ca="1"/>
        <v>MVEUN0</v>
      </c>
      <c r="AD77">
        <f ca="1"/>
        <v>33</v>
      </c>
      <c r="AE77" t="str">
        <f ca="1"/>
        <v>RIG</v>
      </c>
      <c r="AF77" s="87">
        <f ca="1"/>
        <v>-121907.666</v>
      </c>
      <c r="AG77" t="str">
        <f ca="1"/>
        <v>PW</v>
      </c>
      <c r="AH77" s="87">
        <f ca="1"/>
        <v>-3216.2129999999997</v>
      </c>
      <c r="AI77" t="str">
        <f ca="1"/>
        <v>ORA</v>
      </c>
      <c r="AJ77" s="87">
        <f ca="1"/>
        <v>-4270</v>
      </c>
      <c r="AK77" s="90" t="str">
        <f ca="1"/>
        <v>SAFASML</v>
      </c>
      <c r="AL77" s="310">
        <f ca="1"/>
        <v>-7.0868964285714297E-3</v>
      </c>
      <c r="AM77" t="str">
        <f ca="1"/>
        <v>DSY</v>
      </c>
      <c r="AN77" s="310">
        <f ca="1"/>
        <v>-0.22329355723667807</v>
      </c>
      <c r="AO77" t="str">
        <f ca="1"/>
        <v>DSY</v>
      </c>
      <c r="AP77" s="310">
        <f ca="1"/>
        <v>0.28585329905741225</v>
      </c>
      <c r="AQ77" s="87" t="str">
        <f ca="1"/>
        <v>C</v>
      </c>
      <c r="AR77" s="90">
        <f ca="1"/>
        <v>-0.48746656098287222</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NEM</v>
      </c>
      <c r="F78" s="559">
        <f ca="1"/>
        <v>0.40252538018308653</v>
      </c>
      <c r="G78" s="153" t="str">
        <f ca="1"/>
        <v>DXC</v>
      </c>
      <c r="H78" s="560">
        <f ca="1"/>
        <v>-48534.646999999968</v>
      </c>
      <c r="I78" t="str">
        <f ca="1"/>
        <v>BLDP</v>
      </c>
      <c r="J78" s="561">
        <f ca="1"/>
        <v>-1.831E-2</v>
      </c>
      <c r="K78" s="153" t="str">
        <f ca="1"/>
        <v>BLDP</v>
      </c>
      <c r="L78" s="561">
        <f ca="1"/>
        <v>-1.831E-2</v>
      </c>
      <c r="M78" s="1" t="str">
        <f ca="1"/>
        <v>AET</v>
      </c>
      <c r="N78" s="560">
        <f ca="1"/>
        <v>-37203.628806999994</v>
      </c>
      <c r="O78" t="str">
        <f ca="1"/>
        <v>DIS</v>
      </c>
      <c r="P78" s="560">
        <f ca="1"/>
        <v>-6902.0079999999925</v>
      </c>
      <c r="Q78" t="str">
        <f ca="1"/>
        <v>JBASML</v>
      </c>
      <c r="R78" s="650">
        <f ca="1"/>
        <v>-7.0868964285714297E-3</v>
      </c>
      <c r="S78" t="str">
        <f ca="1"/>
        <v>CSCO</v>
      </c>
      <c r="T78" s="87">
        <f ca="1"/>
        <v>-465</v>
      </c>
      <c r="U78" t="str">
        <f ca="1"/>
        <v>DXC</v>
      </c>
      <c r="V78" s="87">
        <f ca="1"/>
        <v>-2250</v>
      </c>
      <c r="W78" t="str">
        <f ca="1"/>
        <v>MVEUN0</v>
      </c>
      <c r="X78">
        <f ca="1"/>
        <v>19</v>
      </c>
      <c r="Y78" t="str">
        <f ca="1"/>
        <v>MA</v>
      </c>
      <c r="Z78">
        <f ca="1"/>
        <v>15</v>
      </c>
      <c r="AA78" t="str">
        <f ca="1"/>
        <v>BLNK</v>
      </c>
      <c r="AB78">
        <f ca="1"/>
        <v>38</v>
      </c>
      <c r="AC78" t="str">
        <f ca="1"/>
        <v>SAFIAG</v>
      </c>
      <c r="AD78">
        <f ca="1"/>
        <v>33</v>
      </c>
      <c r="AE78" t="str">
        <f ca="1"/>
        <v>ENI</v>
      </c>
      <c r="AF78" s="87">
        <f ca="1"/>
        <v>-136678.81759999992</v>
      </c>
      <c r="AG78" t="str">
        <f ca="1"/>
        <v>MVEALDNE</v>
      </c>
      <c r="AH78" s="87">
        <f ca="1"/>
        <v>-3565.7300000000005</v>
      </c>
      <c r="AI78" t="str">
        <f ca="1"/>
        <v>AMZN</v>
      </c>
      <c r="AJ78" s="87">
        <f ca="1"/>
        <v>-4609.0000000000036</v>
      </c>
      <c r="AK78" s="90" t="str">
        <f ca="1"/>
        <v>JBASML</v>
      </c>
      <c r="AL78" s="310">
        <f ca="1"/>
        <v>-7.0868964285714297E-3</v>
      </c>
      <c r="AM78" t="str">
        <f ca="1"/>
        <v>OXY</v>
      </c>
      <c r="AN78" s="310">
        <f ca="1"/>
        <v>-0.24130163298715954</v>
      </c>
      <c r="AO78" t="str">
        <f ca="1"/>
        <v>OXY</v>
      </c>
      <c r="AP78" s="310">
        <f ca="1"/>
        <v>0.31654052921511155</v>
      </c>
      <c r="AQ78" s="87" t="str">
        <f ca="1"/>
        <v>MRNA</v>
      </c>
      <c r="AR78" s="90">
        <f ca="1"/>
        <v>-0.51943708353700901</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CVS</v>
      </c>
      <c r="F79" s="559">
        <f ca="1"/>
        <v>0.36095784006590592</v>
      </c>
      <c r="G79" s="153" t="str">
        <f ca="1"/>
        <v>XPER</v>
      </c>
      <c r="H79" s="560">
        <f ca="1"/>
        <v>-56505.62999999999</v>
      </c>
      <c r="I79" t="str">
        <f ca="1"/>
        <v>BMRA</v>
      </c>
      <c r="J79" s="561">
        <f ca="1"/>
        <v>-2.0588000000000002E-2</v>
      </c>
      <c r="K79" s="153" t="str">
        <f ca="1"/>
        <v>BMRA</v>
      </c>
      <c r="L79" s="561">
        <f ca="1"/>
        <v>-2.0588000000000002E-2</v>
      </c>
      <c r="M79" s="1" t="str">
        <f ca="1"/>
        <v>UN0</v>
      </c>
      <c r="N79" s="560">
        <f ca="1"/>
        <v>-39298.050000000003</v>
      </c>
      <c r="O79" t="str">
        <f ca="1"/>
        <v>GNRC</v>
      </c>
      <c r="P79" s="560">
        <f ca="1"/>
        <v>-7458.5571999999966</v>
      </c>
      <c r="Q79" t="str">
        <f ca="1"/>
        <v>EZJ</v>
      </c>
      <c r="R79" s="650">
        <f ca="1"/>
        <v>-8.0657029761904767E-3</v>
      </c>
      <c r="S79" t="str">
        <f ca="1"/>
        <v>MA</v>
      </c>
      <c r="T79" s="87">
        <f ca="1"/>
        <v>-490.00000000001455</v>
      </c>
      <c r="U79" t="str">
        <f ca="1"/>
        <v>PROF</v>
      </c>
      <c r="V79" s="87">
        <f ca="1"/>
        <v>-2380</v>
      </c>
      <c r="W79" t="str">
        <f ca="1"/>
        <v>GNRC</v>
      </c>
      <c r="X79">
        <f ca="1"/>
        <v>19</v>
      </c>
      <c r="Y79" t="str">
        <f ca="1"/>
        <v>NVAX</v>
      </c>
      <c r="Z79">
        <f ca="1"/>
        <v>15</v>
      </c>
      <c r="AA79" t="str">
        <f ca="1"/>
        <v>CVS</v>
      </c>
      <c r="AB79">
        <f ca="1"/>
        <v>36</v>
      </c>
      <c r="AC79" t="str">
        <f ca="1"/>
        <v>SHECY</v>
      </c>
      <c r="AD79">
        <f ca="1"/>
        <v>32</v>
      </c>
      <c r="AE79" t="str">
        <f ca="1"/>
        <v>OXY</v>
      </c>
      <c r="AF79" s="87">
        <f ca="1"/>
        <v>-155497.42180000001</v>
      </c>
      <c r="AG79" t="str">
        <f ca="1"/>
        <v>DIS</v>
      </c>
      <c r="AH79" s="87">
        <f ca="1"/>
        <v>-4133.9999999999918</v>
      </c>
      <c r="AI79" t="str">
        <f ca="1"/>
        <v>LNSR</v>
      </c>
      <c r="AJ79" s="87">
        <f ca="1"/>
        <v>-6510</v>
      </c>
      <c r="AK79" s="90" t="str">
        <f ca="1"/>
        <v>EZJ</v>
      </c>
      <c r="AL79" s="310">
        <f ca="1"/>
        <v>-8.0657029761904767E-3</v>
      </c>
      <c r="AM79" t="str">
        <f ca="1"/>
        <v>DDD</v>
      </c>
      <c r="AN79" s="310">
        <f ca="1"/>
        <v>-0.25445681370618345</v>
      </c>
      <c r="AO79" t="str">
        <f ca="1"/>
        <v>DDD</v>
      </c>
      <c r="AP79" s="310">
        <f ca="1"/>
        <v>0.33989834765366805</v>
      </c>
      <c r="AQ79" s="87" t="str">
        <f ca="1"/>
        <v>DSY</v>
      </c>
      <c r="AR79" s="90">
        <f ca="1"/>
        <v>-0.52464228934817181</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LAZR</v>
      </c>
      <c r="F80" s="559">
        <f ca="1"/>
        <v>0.35601021921338849</v>
      </c>
      <c r="G80" s="153" t="str">
        <f ca="1"/>
        <v>OXY</v>
      </c>
      <c r="H80" s="560">
        <f ca="1"/>
        <v>-69561.625999999989</v>
      </c>
      <c r="I80" t="str">
        <f ca="1"/>
        <v>MVEGLE</v>
      </c>
      <c r="J80" s="561">
        <f ca="1"/>
        <v>-2.0788999999999998E-2</v>
      </c>
      <c r="K80" s="153" t="str">
        <f ca="1"/>
        <v>MVEGLE</v>
      </c>
      <c r="L80" s="561">
        <f ca="1"/>
        <v>-2.0788999999999998E-2</v>
      </c>
      <c r="M80" s="1" t="str">
        <f ca="1"/>
        <v>OXY</v>
      </c>
      <c r="N80" s="560">
        <f ca="1"/>
        <v>-52580.699999999983</v>
      </c>
      <c r="O80" t="str">
        <f ca="1"/>
        <v>MVEUN0</v>
      </c>
      <c r="P80" s="560">
        <f ca="1"/>
        <v>-8483.7248159999999</v>
      </c>
      <c r="Q80" t="str">
        <f ca="1"/>
        <v>F</v>
      </c>
      <c r="R80" s="650">
        <f ca="1"/>
        <v>-8.4698690476190473E-3</v>
      </c>
      <c r="S80" t="str">
        <f ca="1"/>
        <v>SAFAAPL</v>
      </c>
      <c r="T80" s="87">
        <f ca="1"/>
        <v>-620.54999999998836</v>
      </c>
      <c r="U80" t="str">
        <f ca="1"/>
        <v>PAAS</v>
      </c>
      <c r="V80" s="87">
        <f ca="1"/>
        <v>-2600.3999999999942</v>
      </c>
      <c r="W80" t="str">
        <f ca="1"/>
        <v>MA</v>
      </c>
      <c r="X80">
        <f ca="1"/>
        <v>19</v>
      </c>
      <c r="Y80" t="str">
        <f ca="1"/>
        <v>PW</v>
      </c>
      <c r="Z80">
        <f ca="1"/>
        <v>16</v>
      </c>
      <c r="AA80" t="str">
        <f ca="1"/>
        <v>MVEDDD</v>
      </c>
      <c r="AB80">
        <f ca="1"/>
        <v>36</v>
      </c>
      <c r="AC80" t="str">
        <f ca="1"/>
        <v>POET</v>
      </c>
      <c r="AD80">
        <f ca="1"/>
        <v>31</v>
      </c>
      <c r="AE80" t="str">
        <f ca="1"/>
        <v>SHECY</v>
      </c>
      <c r="AF80" s="87">
        <f ca="1"/>
        <v>-165819.87420400005</v>
      </c>
      <c r="AG80" t="str">
        <f ca="1"/>
        <v>DXC</v>
      </c>
      <c r="AH80" s="87">
        <f ca="1"/>
        <v>-5219.9999999999991</v>
      </c>
      <c r="AI80" t="str">
        <f ca="1"/>
        <v>MVEGLE</v>
      </c>
      <c r="AJ80" s="87">
        <f ca="1"/>
        <v>-7170.0000000000018</v>
      </c>
      <c r="AK80" s="90" t="str">
        <f ca="1"/>
        <v>F</v>
      </c>
      <c r="AL80" s="310">
        <f ca="1"/>
        <v>-8.4698690476190473E-3</v>
      </c>
      <c r="AM80" t="str">
        <f ca="1"/>
        <v>BLNK</v>
      </c>
      <c r="AN80" s="310">
        <f ca="1"/>
        <v>-0.27554171022783308</v>
      </c>
      <c r="AO80" t="str">
        <f ca="1"/>
        <v>BLNK</v>
      </c>
      <c r="AP80" s="310">
        <f ca="1"/>
        <v>0.3791116380485145</v>
      </c>
      <c r="AQ80" s="87" t="str">
        <f ca="1"/>
        <v>PW</v>
      </c>
      <c r="AR80" s="90">
        <f ca="1"/>
        <v>-0.5579747582847443</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THC</v>
      </c>
      <c r="F81" s="559">
        <f ca="1"/>
        <v>0.3401580045479054</v>
      </c>
      <c r="G81" s="153" t="str">
        <f ca="1"/>
        <v>VTRS</v>
      </c>
      <c r="H81" s="560">
        <f ca="1"/>
        <v>-82668.949999999953</v>
      </c>
      <c r="I81" t="str">
        <f ca="1"/>
        <v>GLE</v>
      </c>
      <c r="J81" s="561">
        <f ca="1"/>
        <v>-2.0788999999999998E-2</v>
      </c>
      <c r="K81" s="153" t="str">
        <f ca="1"/>
        <v>GLE</v>
      </c>
      <c r="L81" s="561">
        <f ca="1"/>
        <v>-2.0788999999999998E-2</v>
      </c>
      <c r="M81" s="1" t="str">
        <f ca="1"/>
        <v>SHECY</v>
      </c>
      <c r="N81" s="560">
        <f ca="1"/>
        <v>-53123.360000000066</v>
      </c>
      <c r="O81" t="str">
        <f ca="1"/>
        <v>DDD</v>
      </c>
      <c r="P81" s="560">
        <f ca="1"/>
        <v>-9225.9499999999971</v>
      </c>
      <c r="Q81" t="str">
        <f ca="1"/>
        <v>SSYS</v>
      </c>
      <c r="R81" s="650">
        <f ca="1"/>
        <v>-8.8006785714285739E-3</v>
      </c>
      <c r="S81" t="str">
        <f ca="1"/>
        <v>XPER</v>
      </c>
      <c r="T81" s="87">
        <f ca="1"/>
        <v>-765</v>
      </c>
      <c r="U81" t="str">
        <f ca="1"/>
        <v>ENI</v>
      </c>
      <c r="V81" s="87">
        <f ca="1"/>
        <v>-3218</v>
      </c>
      <c r="W81" t="str">
        <f ca="1"/>
        <v>LOCK</v>
      </c>
      <c r="X81">
        <f ca="1"/>
        <v>19</v>
      </c>
      <c r="Y81" t="str">
        <f ca="1"/>
        <v>BLDP</v>
      </c>
      <c r="Z81">
        <f ca="1"/>
        <v>17</v>
      </c>
      <c r="AA81" t="str">
        <f ca="1"/>
        <v>SAFDDD</v>
      </c>
      <c r="AB81">
        <f ca="1"/>
        <v>36</v>
      </c>
      <c r="AC81" t="str">
        <f ca="1"/>
        <v>CVS</v>
      </c>
      <c r="AD81">
        <f ca="1"/>
        <v>30</v>
      </c>
      <c r="AE81" t="str">
        <f ca="1"/>
        <v>MVEALDNE</v>
      </c>
      <c r="AF81" s="87">
        <f ca="1"/>
        <v>-175036.84277200006</v>
      </c>
      <c r="AG81" t="str">
        <f ca="1"/>
        <v>NOTE</v>
      </c>
      <c r="AH81" s="87">
        <f ca="1"/>
        <v>-5875.0000000000009</v>
      </c>
      <c r="AI81" t="str">
        <f ca="1"/>
        <v>RRC</v>
      </c>
      <c r="AJ81" s="87">
        <f ca="1"/>
        <v>-7854.99999999999</v>
      </c>
      <c r="AK81" s="90" t="str">
        <f ca="1"/>
        <v>SSYS</v>
      </c>
      <c r="AL81" s="310">
        <f ca="1"/>
        <v>-8.8006785714285739E-3</v>
      </c>
      <c r="AM81" t="str">
        <f ca="1"/>
        <v>UNIT</v>
      </c>
      <c r="AN81" s="310">
        <f ca="1"/>
        <v>-0.29332139784946237</v>
      </c>
      <c r="AO81" t="str">
        <f ca="1"/>
        <v>UNIT</v>
      </c>
      <c r="AP81" s="310">
        <f ca="1"/>
        <v>0.41400319878141661</v>
      </c>
      <c r="AQ81" s="87" t="str">
        <f ca="1"/>
        <v>PAAS</v>
      </c>
      <c r="AR81" s="90">
        <f ca="1"/>
        <v>-0.59290560569132256</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ALDNE</v>
      </c>
      <c r="F82" s="559">
        <f ca="1"/>
        <v>0.32673879443585779</v>
      </c>
      <c r="G82" s="153" t="str">
        <f ca="1"/>
        <v>NVAX</v>
      </c>
      <c r="H82" s="560">
        <f ca="1"/>
        <v>-86050.4</v>
      </c>
      <c r="I82" t="str">
        <f ca="1"/>
        <v>RIGL</v>
      </c>
      <c r="J82" s="561">
        <f ca="1"/>
        <v>-2.2425E-2</v>
      </c>
      <c r="K82" s="153" t="str">
        <f ca="1"/>
        <v>RIGL</v>
      </c>
      <c r="L82" s="561">
        <f ca="1"/>
        <v>-2.2425E-2</v>
      </c>
      <c r="M82" s="1" t="str">
        <f ca="1"/>
        <v>EPIX</v>
      </c>
      <c r="N82" s="560">
        <f ca="1"/>
        <v>-57770.399999999994</v>
      </c>
      <c r="O82" t="str">
        <f ca="1"/>
        <v>POET</v>
      </c>
      <c r="P82" s="560">
        <f ca="1"/>
        <v>-9226.199349999999</v>
      </c>
      <c r="Q82" t="str">
        <f ca="1"/>
        <v>DVA</v>
      </c>
      <c r="R82" s="650">
        <f ca="1"/>
        <v>-9.1286130952380959E-3</v>
      </c>
      <c r="S82" t="str">
        <f ca="1"/>
        <v>ENI</v>
      </c>
      <c r="T82" s="87">
        <f ca="1"/>
        <v>-1326</v>
      </c>
      <c r="U82" t="str">
        <f ca="1"/>
        <v>JBEOAN</v>
      </c>
      <c r="V82" s="87">
        <f ca="1"/>
        <v>-3870</v>
      </c>
      <c r="W82" t="str">
        <f ca="1"/>
        <v>ALDNE</v>
      </c>
      <c r="X82">
        <f ca="1"/>
        <v>20</v>
      </c>
      <c r="Y82" t="str">
        <f ca="1"/>
        <v>SSYS</v>
      </c>
      <c r="Z82">
        <f ca="1"/>
        <v>17</v>
      </c>
      <c r="AA82" t="str">
        <f ca="1"/>
        <v>NVS</v>
      </c>
      <c r="AB82">
        <f ca="1"/>
        <v>35</v>
      </c>
      <c r="AC82" t="str">
        <f ca="1"/>
        <v>NOTE</v>
      </c>
      <c r="AD82">
        <f ca="1"/>
        <v>30</v>
      </c>
      <c r="AE82" t="str">
        <f ca="1"/>
        <v>AET</v>
      </c>
      <c r="AF82" s="87">
        <f ca="1"/>
        <v>-180574.13640880003</v>
      </c>
      <c r="AG82" t="str">
        <f ca="1"/>
        <v>OXY</v>
      </c>
      <c r="AH82" s="87">
        <f ca="1"/>
        <v>-6050.6999999999989</v>
      </c>
      <c r="AI82" t="str">
        <f ca="1"/>
        <v>XYZ</v>
      </c>
      <c r="AJ82" s="87">
        <f ca="1"/>
        <v>-8519.9999999999964</v>
      </c>
      <c r="AK82" s="90" t="str">
        <f ca="1"/>
        <v>DVA</v>
      </c>
      <c r="AL82" s="310">
        <f ca="1"/>
        <v>-9.1286130952380959E-3</v>
      </c>
      <c r="AM82" t="str">
        <f ca="1"/>
        <v>MVEDSY</v>
      </c>
      <c r="AN82" s="310">
        <f ca="1"/>
        <v>-0.30533560758082501</v>
      </c>
      <c r="AO82" t="str">
        <f ca="1"/>
        <v>MVEDSY</v>
      </c>
      <c r="AP82" s="310">
        <f ca="1"/>
        <v>0.43859537275064281</v>
      </c>
      <c r="AQ82" s="87" t="str">
        <f ca="1"/>
        <v>MVEDSY</v>
      </c>
      <c r="AR82" s="90">
        <f ca="1"/>
        <v>-0.61163408635182781</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MVEALDNE</v>
      </c>
      <c r="F83" s="559">
        <f ca="1"/>
        <v>0.32673879443585779</v>
      </c>
      <c r="G83" s="153" t="str">
        <f ca="1"/>
        <v>MVEDSY</v>
      </c>
      <c r="H83" s="560">
        <f ca="1"/>
        <v>-119467.39600000001</v>
      </c>
      <c r="I83" t="str">
        <f ca="1"/>
        <v>AVGO</v>
      </c>
      <c r="J83" s="561">
        <f ca="1"/>
        <v>-2.3073999999999997E-2</v>
      </c>
      <c r="K83" s="153" t="str">
        <f ca="1"/>
        <v>AVGO</v>
      </c>
      <c r="L83" s="561">
        <f ca="1"/>
        <v>-2.3073999999999997E-2</v>
      </c>
      <c r="M83" s="1" t="str">
        <f ca="1"/>
        <v>DDD</v>
      </c>
      <c r="N83" s="560">
        <f ca="1"/>
        <v>-64774.999999999971</v>
      </c>
      <c r="O83" t="str">
        <f ca="1"/>
        <v>SSYS</v>
      </c>
      <c r="P83" s="560">
        <f ca="1"/>
        <v>-9896.8011402599968</v>
      </c>
      <c r="Q83" t="str">
        <f ca="1"/>
        <v>RIG</v>
      </c>
      <c r="R83" s="650">
        <f ca="1"/>
        <v>-1.0296589285714286E-2</v>
      </c>
      <c r="S83" t="str">
        <f ca="1"/>
        <v>MVESAP</v>
      </c>
      <c r="T83" s="87">
        <f ca="1"/>
        <v>-1604</v>
      </c>
      <c r="U83" t="str">
        <f ca="1"/>
        <v>LOCK</v>
      </c>
      <c r="V83" s="87">
        <f ca="1"/>
        <v>-4009.2000000001863</v>
      </c>
      <c r="W83" t="str">
        <f ca="1"/>
        <v>CVS</v>
      </c>
      <c r="X83">
        <f ca="1"/>
        <v>20</v>
      </c>
      <c r="Y83" t="str">
        <f ca="1"/>
        <v>VTRS</v>
      </c>
      <c r="Z83">
        <f ca="1"/>
        <v>17</v>
      </c>
      <c r="AA83" t="str">
        <f ca="1"/>
        <v>PFE</v>
      </c>
      <c r="AB83">
        <f ca="1"/>
        <v>35</v>
      </c>
      <c r="AC83" t="str">
        <f ca="1"/>
        <v>PROF</v>
      </c>
      <c r="AD83">
        <f ca="1"/>
        <v>30</v>
      </c>
      <c r="AE83" t="str">
        <f ca="1"/>
        <v>TSM</v>
      </c>
      <c r="AF83" s="87">
        <f ca="1"/>
        <v>-182376.07799999998</v>
      </c>
      <c r="AG83" t="str">
        <f ca="1"/>
        <v>DSY</v>
      </c>
      <c r="AH83" s="87">
        <f ca="1"/>
        <v>-6600.0000000000018</v>
      </c>
      <c r="AI83" t="str">
        <f ca="1"/>
        <v>NVS</v>
      </c>
      <c r="AJ83" s="87">
        <f ca="1"/>
        <v>-9375.8000000000029</v>
      </c>
      <c r="AK83" s="90" t="str">
        <f ca="1"/>
        <v>RIG</v>
      </c>
      <c r="AL83" s="310">
        <f ca="1"/>
        <v>-1.0296589285714286E-2</v>
      </c>
      <c r="AM83" t="str">
        <f ca="1"/>
        <v>UN0</v>
      </c>
      <c r="AN83" s="310">
        <f ca="1"/>
        <v>-0.31407441919164603</v>
      </c>
      <c r="AO83" t="str">
        <f ca="1"/>
        <v>UN0</v>
      </c>
      <c r="AP83" s="310">
        <f ca="1"/>
        <v>0.45702631578947372</v>
      </c>
      <c r="AQ83" s="87" t="str">
        <f ca="1"/>
        <v>MVEALDNE</v>
      </c>
      <c r="AR83" s="90">
        <f ca="1"/>
        <v>-0.63185834377789629</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AET</v>
      </c>
      <c r="F84" s="559">
        <f ca="1"/>
        <v>0.22856548590445105</v>
      </c>
      <c r="G84" s="153" t="str">
        <f ca="1"/>
        <v>BMRA</v>
      </c>
      <c r="H84" s="560">
        <f ca="1"/>
        <v>-127776.25</v>
      </c>
      <c r="I84" t="str">
        <f ca="1"/>
        <v>NVAX</v>
      </c>
      <c r="J84" s="561">
        <f ca="1"/>
        <v>-2.3847E-2</v>
      </c>
      <c r="K84" s="153" t="str">
        <f ca="1"/>
        <v>NVAX</v>
      </c>
      <c r="L84" s="561">
        <f ca="1"/>
        <v>-2.3847E-2</v>
      </c>
      <c r="M84" s="1" t="str">
        <f ca="1"/>
        <v>BLNK</v>
      </c>
      <c r="N84" s="560">
        <f ca="1"/>
        <v>-72825.999999999985</v>
      </c>
      <c r="O84" t="str">
        <f ca="1"/>
        <v>SAFDDD</v>
      </c>
      <c r="P84" s="560">
        <f ca="1"/>
        <v>-10258.259</v>
      </c>
      <c r="Q84" t="str">
        <f ca="1"/>
        <v>BLDP</v>
      </c>
      <c r="R84" s="650">
        <f ca="1"/>
        <v>-1.0706952380952378E-2</v>
      </c>
      <c r="S84" t="str">
        <f ca="1"/>
        <v>DXC</v>
      </c>
      <c r="T84" s="87">
        <f ca="1"/>
        <v>-1950</v>
      </c>
      <c r="U84" t="str">
        <f ca="1"/>
        <v>ALDNE</v>
      </c>
      <c r="V84" s="87">
        <f ca="1"/>
        <v>-5060</v>
      </c>
      <c r="W84" t="str">
        <f ca="1"/>
        <v>HPQ</v>
      </c>
      <c r="X84">
        <f ca="1"/>
        <v>20</v>
      </c>
      <c r="Y84" t="str">
        <f ca="1"/>
        <v>EZJ</v>
      </c>
      <c r="Z84">
        <f ca="1"/>
        <v>17</v>
      </c>
      <c r="AA84" t="str">
        <f ca="1"/>
        <v>XYZ</v>
      </c>
      <c r="AB84">
        <f ca="1"/>
        <v>35</v>
      </c>
      <c r="AC84" t="str">
        <f ca="1"/>
        <v>MVEDDD</v>
      </c>
      <c r="AD84">
        <f ca="1"/>
        <v>30</v>
      </c>
      <c r="AE84" t="str">
        <f ca="1"/>
        <v>NEM</v>
      </c>
      <c r="AF84" s="87">
        <f ca="1"/>
        <v>-194268.58435999986</v>
      </c>
      <c r="AG84" t="str">
        <f ca="1"/>
        <v>XYZ</v>
      </c>
      <c r="AH84" s="87">
        <f ca="1"/>
        <v>-6852.0000000000009</v>
      </c>
      <c r="AI84" t="str">
        <f ca="1"/>
        <v>MVEEOAN</v>
      </c>
      <c r="AJ84" s="87">
        <f ca="1"/>
        <v>-10599.55</v>
      </c>
      <c r="AK84" s="90" t="str">
        <f ca="1"/>
        <v>BLDP</v>
      </c>
      <c r="AL84" s="310">
        <f ca="1"/>
        <v>-1.0706952380952378E-2</v>
      </c>
      <c r="AM84" t="str">
        <f ca="1"/>
        <v>MVEUN0</v>
      </c>
      <c r="AN84" s="310">
        <f ca="1"/>
        <v>-0.3196348510894757</v>
      </c>
      <c r="AO84" t="str">
        <f ca="1"/>
        <v>MVEUN0</v>
      </c>
      <c r="AP84" s="310">
        <f ca="1"/>
        <v>0.46900119047619054</v>
      </c>
      <c r="AQ84" s="87" t="str">
        <f ca="1"/>
        <v>SAP</v>
      </c>
      <c r="AR84" s="90">
        <f ca="1"/>
        <v>-0.71874327523133164</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PW</v>
      </c>
      <c r="F85" s="559">
        <f ca="1"/>
        <v>0.20576201264667096</v>
      </c>
      <c r="G85" s="153" t="str">
        <f ca="1"/>
        <v>SAFDDD</v>
      </c>
      <c r="H85" s="560">
        <f ca="1"/>
        <v>-137327.91999999998</v>
      </c>
      <c r="I85" t="str">
        <f ca="1"/>
        <v>ASML</v>
      </c>
      <c r="J85" s="561">
        <f ca="1"/>
        <v>-2.7365E-2</v>
      </c>
      <c r="K85" s="153" t="str">
        <f ca="1"/>
        <v>ASML</v>
      </c>
      <c r="L85" s="561">
        <f ca="1"/>
        <v>-2.7365E-2</v>
      </c>
      <c r="M85" s="1" t="str">
        <f ca="1"/>
        <v>NFLX</v>
      </c>
      <c r="N85" s="560">
        <f ca="1"/>
        <v>-89054.99999999984</v>
      </c>
      <c r="O85" t="str">
        <f ca="1"/>
        <v>OXY</v>
      </c>
      <c r="P85" s="560">
        <f ca="1"/>
        <v>-10642.956179999997</v>
      </c>
      <c r="Q85" t="str">
        <f ca="1"/>
        <v>AET</v>
      </c>
      <c r="R85" s="650">
        <f ca="1"/>
        <v>-1.0722053571428572E-2</v>
      </c>
      <c r="S85" t="str">
        <f ca="1"/>
        <v>VONN</v>
      </c>
      <c r="T85" s="87">
        <f ca="1"/>
        <v>-2000</v>
      </c>
      <c r="U85" t="str">
        <f ca="1"/>
        <v>MVEENI</v>
      </c>
      <c r="V85" s="87">
        <f ca="1"/>
        <v>-5904</v>
      </c>
      <c r="W85" t="str">
        <f ca="1"/>
        <v>KR</v>
      </c>
      <c r="X85">
        <f ca="1"/>
        <v>20</v>
      </c>
      <c r="Y85" t="str">
        <f ca="1"/>
        <v>LNSR</v>
      </c>
      <c r="Z85">
        <f ca="1"/>
        <v>18</v>
      </c>
      <c r="AA85" t="str">
        <f ca="1"/>
        <v>PROF</v>
      </c>
      <c r="AB85">
        <f ca="1"/>
        <v>34</v>
      </c>
      <c r="AC85" t="str">
        <f ca="1"/>
        <v>SAFDDD</v>
      </c>
      <c r="AD85">
        <f ca="1"/>
        <v>30</v>
      </c>
      <c r="AE85" t="str">
        <f ca="1"/>
        <v>NOTE</v>
      </c>
      <c r="AF85" s="87">
        <f ca="1"/>
        <v>-215812.54749999999</v>
      </c>
      <c r="AG85" t="str">
        <f ca="1"/>
        <v>MVESAP</v>
      </c>
      <c r="AH85" s="87">
        <f ca="1"/>
        <v>-7050</v>
      </c>
      <c r="AI85" t="str">
        <f ca="1"/>
        <v>SAFASML</v>
      </c>
      <c r="AJ85" s="87">
        <f ca="1"/>
        <v>-11372.399999999994</v>
      </c>
      <c r="AK85" s="90" t="str">
        <f ca="1"/>
        <v>AET</v>
      </c>
      <c r="AL85" s="310">
        <f ca="1"/>
        <v>-1.0722053571428572E-2</v>
      </c>
      <c r="AM85" t="str">
        <f ca="1"/>
        <v>SAFDDD</v>
      </c>
      <c r="AN85" s="310">
        <f ca="1"/>
        <v>-0.32146856956152747</v>
      </c>
      <c r="AO85" t="str">
        <f ca="1"/>
        <v>SAFDDD</v>
      </c>
      <c r="AP85" s="310">
        <f ca="1"/>
        <v>0.47299346271705822</v>
      </c>
      <c r="AQ85" s="87" t="str">
        <f ca="1"/>
        <v>UN0</v>
      </c>
      <c r="AR85" s="90">
        <f ca="1"/>
        <v>-0.75441941593088035</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BMRA</v>
      </c>
      <c r="F86" s="559">
        <f ca="1"/>
        <v>0.11485061080312024</v>
      </c>
      <c r="G86" s="153" t="str">
        <f ca="1"/>
        <v>XYZ</v>
      </c>
      <c r="H86" s="560">
        <f ca="1"/>
        <v>-168334.90000000002</v>
      </c>
      <c r="I86" t="str">
        <f ca="1"/>
        <v>SAFASML</v>
      </c>
      <c r="J86" s="561">
        <f ca="1"/>
        <v>-2.7365E-2</v>
      </c>
      <c r="K86" s="153" t="str">
        <f ca="1"/>
        <v>SAFASML</v>
      </c>
      <c r="L86" s="561">
        <f ca="1"/>
        <v>-2.7365E-2</v>
      </c>
      <c r="M86" s="1" t="str">
        <f ca="1"/>
        <v>SAP</v>
      </c>
      <c r="N86" s="560">
        <f ca="1"/>
        <v>-94555.449999999895</v>
      </c>
      <c r="O86" t="str">
        <f ca="1"/>
        <v>PFE</v>
      </c>
      <c r="P86" s="560">
        <f ca="1"/>
        <v>-11080.7868528</v>
      </c>
      <c r="Q86" t="str">
        <f ca="1"/>
        <v>NFLX</v>
      </c>
      <c r="R86" s="650">
        <f ca="1"/>
        <v>-1.1808738095238101E-2</v>
      </c>
      <c r="S86" t="str">
        <f ca="1"/>
        <v>EZJ</v>
      </c>
      <c r="T86" s="87">
        <f ca="1"/>
        <v>-2130</v>
      </c>
      <c r="U86" t="str">
        <f ca="1"/>
        <v>JBASML</v>
      </c>
      <c r="V86" s="87">
        <f ca="1"/>
        <v>-6300</v>
      </c>
      <c r="W86" t="str">
        <f ca="1"/>
        <v>POET</v>
      </c>
      <c r="X86">
        <f ca="1"/>
        <v>20</v>
      </c>
      <c r="Y86" t="str">
        <f ca="1"/>
        <v>MVEGLE</v>
      </c>
      <c r="Z86">
        <f ca="1"/>
        <v>18</v>
      </c>
      <c r="AA86" t="str">
        <f ca="1"/>
        <v>TSM</v>
      </c>
      <c r="AB86">
        <f ca="1"/>
        <v>34</v>
      </c>
      <c r="AC86" t="str">
        <f ca="1"/>
        <v>BLDP</v>
      </c>
      <c r="AD86">
        <f ca="1"/>
        <v>28</v>
      </c>
      <c r="AE86" t="str">
        <f ca="1"/>
        <v>BLNK</v>
      </c>
      <c r="AF86" s="87">
        <f ca="1"/>
        <v>-232041.77000000002</v>
      </c>
      <c r="AG86" t="str">
        <f ca="1"/>
        <v>SAP</v>
      </c>
      <c r="AH86" s="87">
        <f ca="1"/>
        <v>-8349.9999999999945</v>
      </c>
      <c r="AI86" t="str">
        <f ca="1"/>
        <v>SAFAMZN</v>
      </c>
      <c r="AJ86" s="87">
        <f ca="1"/>
        <v>-11454.999999999998</v>
      </c>
      <c r="AK86" s="90" t="str">
        <f ca="1"/>
        <v>NFLX</v>
      </c>
      <c r="AL86" s="310">
        <f ca="1"/>
        <v>-1.1808738095238101E-2</v>
      </c>
      <c r="AM86" t="str">
        <f ca="1"/>
        <v>ALDNE</v>
      </c>
      <c r="AN86" s="310">
        <f ca="1"/>
        <v>-0.33073724001725474</v>
      </c>
      <c r="AO86" t="str">
        <f ca="1"/>
        <v>ALDNE</v>
      </c>
      <c r="AP86" s="310">
        <f ca="1"/>
        <v>0.49350876723609854</v>
      </c>
      <c r="AQ86" s="87" t="str">
        <f ca="1"/>
        <v>MVEUN0</v>
      </c>
      <c r="AR86" s="90">
        <f ca="1"/>
        <v>-0.76653306613226435</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SHECY</v>
      </c>
      <c r="F87" s="559">
        <f ca="1"/>
        <v>4.9657928425179201E-2</v>
      </c>
      <c r="G87" s="153" t="str">
        <f ca="1"/>
        <v>NOTE</v>
      </c>
      <c r="H87" s="560">
        <f ca="1"/>
        <v>-170271.01750000002</v>
      </c>
      <c r="I87" t="str">
        <f ca="1"/>
        <v>JBASML</v>
      </c>
      <c r="J87" s="561">
        <f ca="1"/>
        <v>-2.7365E-2</v>
      </c>
      <c r="K87" s="153" t="str">
        <f ca="1"/>
        <v>JBASML</v>
      </c>
      <c r="L87" s="561">
        <f ca="1"/>
        <v>-2.7365E-2</v>
      </c>
      <c r="M87" s="1" t="str">
        <f ca="1"/>
        <v>SAFDDD</v>
      </c>
      <c r="N87" s="560">
        <f ca="1"/>
        <v>-116401.5</v>
      </c>
      <c r="O87" t="str">
        <f ca="1"/>
        <v>DSY</v>
      </c>
      <c r="P87" s="560">
        <f ca="1"/>
        <v>-11569.840000000002</v>
      </c>
      <c r="Q87" t="str">
        <f ca="1"/>
        <v>KR</v>
      </c>
      <c r="R87" s="650">
        <f ca="1"/>
        <v>-1.498936904761905E-2</v>
      </c>
      <c r="S87" t="str">
        <f ca="1"/>
        <v>AVGO</v>
      </c>
      <c r="T87" s="87">
        <f ca="1"/>
        <v>-2718</v>
      </c>
      <c r="U87" t="str">
        <f ca="1"/>
        <v>AVGO</v>
      </c>
      <c r="V87" s="87">
        <f ca="1"/>
        <v>-6858</v>
      </c>
      <c r="W87" t="str">
        <f ca="1"/>
        <v>RWE</v>
      </c>
      <c r="X87">
        <f ca="1"/>
        <v>20</v>
      </c>
      <c r="Y87" t="str">
        <f ca="1"/>
        <v>GLE</v>
      </c>
      <c r="Z87">
        <f ca="1"/>
        <v>18</v>
      </c>
      <c r="AA87" t="str">
        <f ca="1"/>
        <v>MVEUN0</v>
      </c>
      <c r="AB87">
        <f ca="1"/>
        <v>34</v>
      </c>
      <c r="AC87" t="str">
        <f ca="1"/>
        <v>TSLA</v>
      </c>
      <c r="AD87">
        <f ca="1"/>
        <v>28</v>
      </c>
      <c r="AE87" t="str">
        <f ca="1"/>
        <v>SAFMRNA</v>
      </c>
      <c r="AF87" s="87">
        <f ca="1"/>
        <v>-235077.74099999998</v>
      </c>
      <c r="AG87" t="str">
        <f ca="1"/>
        <v>GNRC</v>
      </c>
      <c r="AH87" s="87">
        <f ca="1"/>
        <v>-8561.9999999999982</v>
      </c>
      <c r="AI87" t="str">
        <f ca="1"/>
        <v>JBASML</v>
      </c>
      <c r="AJ87" s="87">
        <f ca="1"/>
        <v>-12779.999999999973</v>
      </c>
      <c r="AK87" s="90" t="str">
        <f ca="1"/>
        <v>KR</v>
      </c>
      <c r="AL87" s="310">
        <f ca="1"/>
        <v>-1.498936904761905E-2</v>
      </c>
      <c r="AM87" t="str">
        <f ca="1"/>
        <v>PW</v>
      </c>
      <c r="AN87" s="310">
        <f ca="1"/>
        <v>-0.3800697041718456</v>
      </c>
      <c r="AO87" t="str">
        <f ca="1"/>
        <v>PW</v>
      </c>
      <c r="AP87" s="310">
        <f ca="1"/>
        <v>0.61306669696969673</v>
      </c>
      <c r="AQ87" s="87" t="str">
        <f ca="1"/>
        <v>HPQ</v>
      </c>
      <c r="AR87" s="90">
        <f ca="1"/>
        <v>-0.78162665521910057</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2.7336551328617856E-2</v>
      </c>
      <c r="G88" s="153" t="str">
        <f ca="1"/>
        <v>SAFMRNA</v>
      </c>
      <c r="H88" s="560">
        <f ca="1"/>
        <v>-175791.99599999998</v>
      </c>
      <c r="I88" t="str">
        <f ca="1"/>
        <v>PW</v>
      </c>
      <c r="J88" s="561">
        <f ca="1"/>
        <v>-3.2115999999999999E-2</v>
      </c>
      <c r="K88" s="153" t="str">
        <f ca="1"/>
        <v>PW</v>
      </c>
      <c r="L88" s="561">
        <f ca="1"/>
        <v>-3.2115999999999999E-2</v>
      </c>
      <c r="M88" s="1" t="str">
        <f ca="1"/>
        <v>MVEDSY</v>
      </c>
      <c r="N88" s="560">
        <f ca="1"/>
        <v>-123570.00000000003</v>
      </c>
      <c r="O88" t="str">
        <f ca="1"/>
        <v>NFLX</v>
      </c>
      <c r="P88" s="560">
        <f ca="1"/>
        <v>-13396.079399999993</v>
      </c>
      <c r="Q88" t="str">
        <f ca="1"/>
        <v>GNRC</v>
      </c>
      <c r="R88" s="650">
        <f ca="1"/>
        <v>-1.5427976190476183E-2</v>
      </c>
      <c r="S88" t="str">
        <f ca="1"/>
        <v>MVEENI</v>
      </c>
      <c r="T88" s="87">
        <f ca="1"/>
        <v>-2808</v>
      </c>
      <c r="U88" t="str">
        <f ca="1"/>
        <v>NFLX</v>
      </c>
      <c r="V88" s="87">
        <f ca="1"/>
        <v>-6930</v>
      </c>
      <c r="W88" t="str">
        <f ca="1"/>
        <v>TSLA</v>
      </c>
      <c r="X88">
        <f ca="1"/>
        <v>20</v>
      </c>
      <c r="Y88" t="str">
        <f ca="1"/>
        <v>KR</v>
      </c>
      <c r="Z88">
        <f ca="1"/>
        <v>19</v>
      </c>
      <c r="AA88" t="str">
        <f ca="1"/>
        <v>SAP</v>
      </c>
      <c r="AB88">
        <f ca="1"/>
        <v>30</v>
      </c>
      <c r="AC88" t="str">
        <f ca="1"/>
        <v>KR</v>
      </c>
      <c r="AD88">
        <f ca="1"/>
        <v>27</v>
      </c>
      <c r="AE88" t="str">
        <f ca="1"/>
        <v>NFLX</v>
      </c>
      <c r="AF88" s="87">
        <f ca="1"/>
        <v>-258382.25</v>
      </c>
      <c r="AG88" t="str">
        <f ca="1"/>
        <v>MVEDSY</v>
      </c>
      <c r="AH88" s="87">
        <f ca="1"/>
        <v>-10319.999999999998</v>
      </c>
      <c r="AI88" t="str">
        <f ca="1"/>
        <v>GS</v>
      </c>
      <c r="AJ88" s="87">
        <f ca="1"/>
        <v>-15345.500000000004</v>
      </c>
      <c r="AK88" s="90" t="str">
        <f ca="1"/>
        <v>GNRC</v>
      </c>
      <c r="AL88" s="310">
        <f ca="1"/>
        <v>-1.5427976190476183E-2</v>
      </c>
      <c r="AM88" t="str">
        <f ca="1"/>
        <v>MVEALDNE</v>
      </c>
      <c r="AN88" s="310">
        <f ca="1"/>
        <v>-0.38201685416886827</v>
      </c>
      <c r="AO88" t="str">
        <f ca="1"/>
        <v>MVEALDNE</v>
      </c>
      <c r="AP88" s="310">
        <f ca="1"/>
        <v>0.61817887045950748</v>
      </c>
      <c r="AQ88" s="87" t="str">
        <f ca="1"/>
        <v>VLVLY</v>
      </c>
      <c r="AR88" s="90">
        <f ca="1"/>
        <v>-0.83357142857142974</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1.1342155009451797E-2</v>
      </c>
      <c r="G89" s="153" t="str">
        <f ca="1"/>
        <v>UN0</v>
      </c>
      <c r="H89" s="560">
        <f ca="1"/>
        <v>-203682.19500000001</v>
      </c>
      <c r="I89" t="str">
        <f ca="1"/>
        <v>DXC</v>
      </c>
      <c r="J89" s="561">
        <f ca="1"/>
        <v>-3.4091000000000003E-2</v>
      </c>
      <c r="K89" s="153" t="str">
        <f ca="1"/>
        <v>DXC</v>
      </c>
      <c r="L89" s="561">
        <f ca="1"/>
        <v>-3.4091000000000003E-2</v>
      </c>
      <c r="M89" s="1" t="str">
        <f ca="1"/>
        <v>BMRA</v>
      </c>
      <c r="N89" s="560">
        <f ca="1"/>
        <v>-127776.24999999999</v>
      </c>
      <c r="O89" t="str">
        <f ca="1"/>
        <v>MVEDSY</v>
      </c>
      <c r="P89" s="560">
        <f ca="1"/>
        <v>-16626.657999999996</v>
      </c>
      <c r="Q89" t="str">
        <f ca="1"/>
        <v>SHECY</v>
      </c>
      <c r="R89" s="650">
        <f ca="1"/>
        <v>-1.5766940476190476E-2</v>
      </c>
      <c r="S89" t="str">
        <f ca="1"/>
        <v>LOCK</v>
      </c>
      <c r="T89" s="87">
        <f ca="1"/>
        <v>-4009.2000000001863</v>
      </c>
      <c r="U89" t="str">
        <f ca="1"/>
        <v>SAFASML</v>
      </c>
      <c r="V89" s="87">
        <f ca="1"/>
        <v>-7875</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NVAX</v>
      </c>
      <c r="AH89" s="87">
        <f ca="1"/>
        <v>-10529.099999999997</v>
      </c>
      <c r="AI89" t="str">
        <f ca="1"/>
        <v>XOM</v>
      </c>
      <c r="AJ89" s="87">
        <f ca="1"/>
        <v>-18035.999999999993</v>
      </c>
      <c r="AK89" s="90" t="str">
        <f ca="1"/>
        <v>SHECY</v>
      </c>
      <c r="AL89" s="310">
        <f ca="1"/>
        <v>-1.5766940476190476E-2</v>
      </c>
      <c r="AM89" t="str">
        <f ca="1"/>
        <v>SAFMRNA</v>
      </c>
      <c r="AN89" s="310">
        <f ca="1"/>
        <v>-0.6011647099925792</v>
      </c>
      <c r="AO89" t="str">
        <f ca="1"/>
        <v>SAFMRNA</v>
      </c>
      <c r="AP89" s="310">
        <f ca="1"/>
        <v>1.5145912375127424</v>
      </c>
      <c r="AQ89" s="87" t="str">
        <f ca="1"/>
        <v>LAZR</v>
      </c>
      <c r="AR89" s="90">
        <f ca="1"/>
        <v>-1.0048571858410884</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1.1342155009451797E-2</v>
      </c>
      <c r="G90" s="153" t="str">
        <f ca="1"/>
        <v>MVEALDNE</v>
      </c>
      <c r="H90" s="560">
        <f ca="1"/>
        <v>-244524.797074</v>
      </c>
      <c r="I90" t="str">
        <f ca="1"/>
        <v>TSLA</v>
      </c>
      <c r="J90" s="561">
        <f ca="1"/>
        <v>-3.5612999999999999E-2</v>
      </c>
      <c r="K90" s="153" t="str">
        <f ca="1"/>
        <v>TSLA</v>
      </c>
      <c r="L90" s="561">
        <f ca="1"/>
        <v>-3.5612999999999999E-2</v>
      </c>
      <c r="M90" s="1" t="str">
        <f ca="1"/>
        <v>NOTE</v>
      </c>
      <c r="N90" s="560">
        <f ca="1"/>
        <v>-170271.01750000002</v>
      </c>
      <c r="O90" t="str">
        <f ca="1"/>
        <v>SAFMRNA</v>
      </c>
      <c r="P90" s="560">
        <f ca="1"/>
        <v>-19863.220999999994</v>
      </c>
      <c r="Q90" t="str">
        <f ca="1"/>
        <v>XYZ</v>
      </c>
      <c r="R90" s="650">
        <f ca="1"/>
        <v>-1.84639625E-2</v>
      </c>
      <c r="S90" t="str">
        <f ca="1"/>
        <v>JBASML</v>
      </c>
      <c r="T90" s="87">
        <f ca="1"/>
        <v>-5640</v>
      </c>
      <c r="U90" t="str">
        <f ca="1"/>
        <v>TSM</v>
      </c>
      <c r="V90" s="87">
        <f ca="1"/>
        <v>-12031.5</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-22796.729999999992</v>
      </c>
      <c r="AK90" s="90" t="str">
        <f ca="1"/>
        <v>XYZ</v>
      </c>
      <c r="AL90" s="310">
        <f ca="1"/>
        <v>-1.84639625E-2</v>
      </c>
      <c r="AM90" t="str">
        <f ca="1"/>
        <v>MRNA</v>
      </c>
      <c r="AN90" s="310">
        <f ca="1"/>
        <v>-0.65597882539086871</v>
      </c>
      <c r="AO90" t="str">
        <f ca="1"/>
        <v>MRNA</v>
      </c>
      <c r="AP90" s="310">
        <f ca="1"/>
        <v>1.9187185185185187</v>
      </c>
      <c r="AQ90" s="87" t="str">
        <f ca="1"/>
        <v>XYZ</v>
      </c>
      <c r="AR90" s="90">
        <f ca="1"/>
        <v>-1.090486623555063</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RWE</v>
      </c>
      <c r="F91" s="559">
        <f ca="1"/>
        <v>4.4524727823072796E-3</v>
      </c>
      <c r="G91" s="153" t="str">
        <f ca="1"/>
        <v>BLNK</v>
      </c>
      <c r="H91" s="560">
        <f ca="1"/>
        <v>-253002.89</v>
      </c>
      <c r="I91" t="str">
        <f ca="1"/>
        <v>XPER</v>
      </c>
      <c r="J91" s="561">
        <f ca="1"/>
        <v>-3.952E-2</v>
      </c>
      <c r="K91" s="153" t="str">
        <f ca="1"/>
        <v>XPER</v>
      </c>
      <c r="L91" s="561">
        <f ca="1"/>
        <v>-3.952E-2</v>
      </c>
      <c r="M91" s="1" t="str">
        <f ca="1"/>
        <v>SAFMRNA</v>
      </c>
      <c r="N91" s="560">
        <f ca="1"/>
        <v>-186045.57550000004</v>
      </c>
      <c r="O91" t="str">
        <f ca="1"/>
        <v>MVESAP</v>
      </c>
      <c r="P91" s="560">
        <f ca="1"/>
        <v>-25847.621000000006</v>
      </c>
      <c r="Q91" t="str">
        <f ca="1"/>
        <v>CVS</v>
      </c>
      <c r="R91" s="650">
        <f ca="1"/>
        <v>-1.879520833333333E-2</v>
      </c>
      <c r="S91" t="str">
        <f ca="1"/>
        <v>SAFASML</v>
      </c>
      <c r="T91" s="87">
        <f ca="1"/>
        <v>-7050</v>
      </c>
      <c r="U91" t="str">
        <f ca="1"/>
        <v>MVEGLE</v>
      </c>
      <c r="V91" s="87">
        <f ca="1"/>
        <v>-15540</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CVS</v>
      </c>
      <c r="AL91" s="310">
        <f ca="1"/>
        <v>-1.879520833333333E-2</v>
      </c>
      <c r="AM91" t="str">
        <f ca="1"/>
        <v>SSYS</v>
      </c>
      <c r="AN91" s="310">
        <f ca="1"/>
        <v>-0.67423229750774427</v>
      </c>
      <c r="AO91" t="str">
        <f ca="1"/>
        <v>SSYS</v>
      </c>
      <c r="AP91" s="310">
        <f ca="1"/>
        <v>2.0837232690274838</v>
      </c>
      <c r="AQ91" s="87" t="str">
        <f ca="1"/>
        <v>MVEEPIX</v>
      </c>
      <c r="AR91" s="90">
        <f ca="1"/>
        <v>-1.1037790697674417</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MVERWE</v>
      </c>
      <c r="F92" s="559">
        <f ca="1"/>
        <v>4.4524727823072796E-3</v>
      </c>
      <c r="G92" s="153" t="str">
        <f ca="1"/>
        <v>LAZR</v>
      </c>
      <c r="H92" s="560">
        <f ca="1"/>
        <v>-317068.93</v>
      </c>
      <c r="I92" t="str">
        <f ca="1"/>
        <v>LUMN</v>
      </c>
      <c r="J92" s="561">
        <f ca="1"/>
        <v>-4.1589999999999995E-2</v>
      </c>
      <c r="K92" s="153" t="str">
        <f ca="1"/>
        <v>LUMN</v>
      </c>
      <c r="L92" s="561">
        <f ca="1"/>
        <v>-4.1589999999999995E-2</v>
      </c>
      <c r="M92" s="1" t="str">
        <f ca="1"/>
        <v>MVEALDNE</v>
      </c>
      <c r="N92" s="560">
        <f ca="1"/>
        <v>-244524.797074</v>
      </c>
      <c r="O92" t="str">
        <f ca="1"/>
        <v>XPER</v>
      </c>
      <c r="P92" s="560">
        <f ca="1"/>
        <v>-28376.827920000007</v>
      </c>
      <c r="Q92" t="str">
        <f ca="1"/>
        <v>MVEDDD</v>
      </c>
      <c r="R92" s="650">
        <f ca="1"/>
        <v>-1.879520833333333E-2</v>
      </c>
      <c r="S92" t="str">
        <f ca="1"/>
        <v>MVEGLE</v>
      </c>
      <c r="T92" s="87">
        <f ca="1"/>
        <v>-10080</v>
      </c>
      <c r="U92" t="str">
        <f ca="1"/>
        <v>SAP</v>
      </c>
      <c r="V92" s="87">
        <f ca="1"/>
        <v>-15960</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-19787.725000000002</v>
      </c>
      <c r="AI92" t="str">
        <f ca="1"/>
        <v>RWE</v>
      </c>
      <c r="AJ92" s="87">
        <f ca="1"/>
        <v>-30559.999999999993</v>
      </c>
      <c r="AK92" s="90" t="str">
        <f ca="1"/>
        <v>MVEDDD</v>
      </c>
      <c r="AL92" s="310">
        <f ca="1"/>
        <v>-1.879520833333333E-2</v>
      </c>
      <c r="AM92" t="str">
        <f ca="1"/>
        <v>NOTE</v>
      </c>
      <c r="AN92" s="310">
        <f ca="1"/>
        <v>-0.67497889469508232</v>
      </c>
      <c r="AO92" t="str">
        <f ca="1"/>
        <v>NOTE</v>
      </c>
      <c r="AP92" s="310">
        <f ca="1"/>
        <v>2.0908699484289235</v>
      </c>
      <c r="AQ92" s="87" t="str">
        <f ca="1"/>
        <v>UNIT</v>
      </c>
      <c r="AR92" s="90">
        <f ca="1"/>
        <v>-1.1262868908716541</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EOAN</v>
      </c>
      <c r="F93" s="559">
        <f ca="1"/>
        <v>1.3773604663339033E-3</v>
      </c>
      <c r="G93" s="153" t="str">
        <f ca="1"/>
        <v>DDD</v>
      </c>
      <c r="H93" s="560">
        <f ca="1"/>
        <v>-323489.5</v>
      </c>
      <c r="I93" t="str">
        <f ca="1"/>
        <v>LNSR</v>
      </c>
      <c r="J93" s="561">
        <f ca="1"/>
        <v>-7.0804000000000006E-2</v>
      </c>
      <c r="K93" s="153" t="str">
        <f ca="1"/>
        <v>LNSR</v>
      </c>
      <c r="L93" s="561">
        <f ca="1"/>
        <v>-7.0804000000000006E-2</v>
      </c>
      <c r="M93" s="1" t="str">
        <f ca="1"/>
        <v>SSYS</v>
      </c>
      <c r="N93" s="560">
        <f ca="1"/>
        <v>-315785.89</v>
      </c>
      <c r="O93" t="str">
        <f ca="1"/>
        <v>DXC</v>
      </c>
      <c r="P93" s="560">
        <f ca="1"/>
        <v>-28505.691999999999</v>
      </c>
      <c r="Q93" t="str">
        <f ca="1"/>
        <v>SAFDDD</v>
      </c>
      <c r="R93" s="650">
        <f ca="1"/>
        <v>-1.879520833333333E-2</v>
      </c>
      <c r="S93" t="str">
        <f ca="1"/>
        <v>SAP</v>
      </c>
      <c r="T93" s="87">
        <f ca="1"/>
        <v>-15200</v>
      </c>
      <c r="U93" t="str">
        <f ca="1"/>
        <v>AAPL</v>
      </c>
      <c r="V93" s="87">
        <f ca="1"/>
        <v>-16993.5</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-42862.800000000017</v>
      </c>
      <c r="AI93" t="str">
        <f ca="1"/>
        <v>MVERWE</v>
      </c>
      <c r="AJ93" s="87">
        <f ca="1"/>
        <v>-38190.44999999999</v>
      </c>
      <c r="AK93" s="90" t="str">
        <f ca="1"/>
        <v>SAFDDD</v>
      </c>
      <c r="AL93" s="310">
        <f ca="1"/>
        <v>-1.879520833333333E-2</v>
      </c>
      <c r="AM93" t="str">
        <f ca="1"/>
        <v>BMRA</v>
      </c>
      <c r="AN93" s="310">
        <f ca="1"/>
        <v>-0.80155999716972226</v>
      </c>
      <c r="AO93" t="str">
        <f ca="1"/>
        <v>BMRA</v>
      </c>
      <c r="AP93" s="310">
        <f ca="1"/>
        <v>4.0903329329329328</v>
      </c>
      <c r="AQ93" s="87" t="str">
        <f ca="1"/>
        <v>EPIX</v>
      </c>
      <c r="AR93" s="90">
        <f ca="1"/>
        <v>-1.1272637308263236</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MVEEOAN</v>
      </c>
      <c r="F94" s="559">
        <f ca="1"/>
        <v>1.3773604663339033E-3</v>
      </c>
      <c r="G94" s="153" t="str">
        <f ca="1"/>
        <v>MRNA</v>
      </c>
      <c r="H94" s="560">
        <f ca="1"/>
        <v>-518901.97</v>
      </c>
      <c r="I94" t="str">
        <f ca="1"/>
        <v>XYZ</v>
      </c>
      <c r="J94" s="561">
        <f ca="1"/>
        <v>-7.6272000000000006E-2</v>
      </c>
      <c r="K94" s="153" t="str">
        <f ca="1"/>
        <v>XYZ</v>
      </c>
      <c r="L94" s="561">
        <f ca="1"/>
        <v>-7.6272000000000006E-2</v>
      </c>
      <c r="M94" s="1" t="str">
        <f ca="1"/>
        <v>LAZR</v>
      </c>
      <c r="N94" s="560">
        <f ca="1"/>
        <v>-317068.93</v>
      </c>
      <c r="O94" t="str">
        <f ca="1"/>
        <v>NVAX</v>
      </c>
      <c r="P94" s="560">
        <f ca="1"/>
        <v>-29662.675999999996</v>
      </c>
      <c r="Q94" t="str">
        <f ca="1"/>
        <v>HPQ</v>
      </c>
      <c r="R94" s="650">
        <f ca="1"/>
        <v>-2.0959545238095234E-2</v>
      </c>
      <c r="S94" t="str">
        <f ca="1"/>
        <v>AAPL</v>
      </c>
      <c r="T94" s="87">
        <f ca="1"/>
        <v>-16843.5</v>
      </c>
      <c r="U94" t="str">
        <f ca="1"/>
        <v>IAG</v>
      </c>
      <c r="V94" s="87">
        <f ca="1"/>
        <v>-29490</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LAZR</v>
      </c>
      <c r="AH94" s="87">
        <f ca="1"/>
        <v>-50116.165000000001</v>
      </c>
      <c r="AI94" t="str">
        <f ca="1"/>
        <v>SAFGM</v>
      </c>
      <c r="AJ94" s="87">
        <f ca="1"/>
        <v>-44053.19999999999</v>
      </c>
      <c r="AK94" s="90" t="str">
        <f ca="1"/>
        <v>HPQ</v>
      </c>
      <c r="AL94" s="310">
        <f ca="1"/>
        <v>-2.0959545238095234E-2</v>
      </c>
      <c r="AM94" t="str">
        <f ca="1"/>
        <v>EPIX</v>
      </c>
      <c r="AN94" s="310">
        <f ca="1"/>
        <v>-0.90304729556909646</v>
      </c>
      <c r="AO94" t="str">
        <f ca="1"/>
        <v>EPIX</v>
      </c>
      <c r="AP94" s="310">
        <f ca="1"/>
        <v>9.5683741550695824</v>
      </c>
      <c r="AQ94" s="87" t="str">
        <f ca="1"/>
        <v>SHECY</v>
      </c>
      <c r="AR94" s="90">
        <f ca="1"/>
        <v>-1.3421052631578942</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JBEOAN</v>
      </c>
      <c r="F95" s="559">
        <f ca="1"/>
        <v>1.3773604663339033E-3</v>
      </c>
      <c r="G95" s="153" t="str">
        <f ca="1"/>
        <v>SSYS</v>
      </c>
      <c r="H95" s="560">
        <f ca="1"/>
        <v>-705164.32010000001</v>
      </c>
      <c r="I95" t="str">
        <f ca="1"/>
        <v>IAG</v>
      </c>
      <c r="J95" s="561">
        <f ca="1"/>
        <v>-0.115673</v>
      </c>
      <c r="K95" s="153" t="str">
        <f ca="1"/>
        <v>IAG</v>
      </c>
      <c r="L95" s="561">
        <f ca="1"/>
        <v>-0.115673</v>
      </c>
      <c r="M95" s="1" t="str">
        <f ca="1"/>
        <v>MRNA</v>
      </c>
      <c r="N95" s="560">
        <f ca="1"/>
        <v>-565444.04</v>
      </c>
      <c r="O95" t="str">
        <f ca="1"/>
        <v>EPIX</v>
      </c>
      <c r="P95" s="560">
        <f ca="1"/>
        <v>-55543.211199999991</v>
      </c>
      <c r="Q95" t="str">
        <f ca="1"/>
        <v>SAFIAG</v>
      </c>
      <c r="R95" s="650">
        <f ca="1"/>
        <v>-2.0959545238095234E-2</v>
      </c>
      <c r="S95" t="str">
        <f ca="1"/>
        <v>IAG</v>
      </c>
      <c r="T95" s="87">
        <f ca="1"/>
        <v>-23980</v>
      </c>
      <c r="U95" t="str">
        <f ca="1"/>
        <v>NEM</v>
      </c>
      <c r="V95" s="87">
        <f ca="1"/>
        <v>-45220</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MRNA</v>
      </c>
      <c r="AH95" s="87">
        <f ca="1"/>
        <v>-50475.000000000007</v>
      </c>
      <c r="AI95" t="str">
        <f ca="1"/>
        <v>GLE</v>
      </c>
      <c r="AJ95" s="87">
        <f ca="1"/>
        <v>-47080</v>
      </c>
      <c r="AK95" s="90" t="str">
        <f ca="1"/>
        <v>SAFIAG</v>
      </c>
      <c r="AL95" s="310">
        <f ca="1"/>
        <v>-2.0959545238095234E-2</v>
      </c>
      <c r="AM95" t="str">
        <f ca="1"/>
        <v>MVEEPIX</v>
      </c>
      <c r="AN95" s="310">
        <f ca="1"/>
        <v>-0.91986868770122332</v>
      </c>
      <c r="AO95" t="str">
        <f ca="1"/>
        <v>MVEEPIX</v>
      </c>
      <c r="AP95" s="310">
        <f ca="1"/>
        <v>11.861879787939033</v>
      </c>
      <c r="AQ95" s="87" t="str">
        <f ca="1"/>
        <v>NOTE</v>
      </c>
      <c r="AR95" s="90">
        <f ca="1"/>
        <v>-2.4102564102564106</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-979021.04126371676</v>
      </c>
      <c r="I96" s="561" t="str">
        <f ca="1"/>
        <v>SAFIAG</v>
      </c>
      <c r="J96" s="561">
        <f ca="1"/>
        <v>-0.115673</v>
      </c>
      <c r="K96" t="str">
        <f ca="1"/>
        <v>SAFIAG</v>
      </c>
      <c r="L96" s="561">
        <f ca="1"/>
        <v>-0.115673</v>
      </c>
      <c r="M96" s="1" t="str">
        <f ca="1"/>
        <v>ALDNE</v>
      </c>
      <c r="N96" s="560">
        <f ca="1"/>
        <v>-979021.04126371688</v>
      </c>
      <c r="O96" t="str">
        <f ca="1"/>
        <v>MRNA</v>
      </c>
      <c r="P96" s="560">
        <f ca="1"/>
        <v>-95324.011499999993</v>
      </c>
      <c r="Q96" t="str">
        <f ca="1"/>
        <v>PROF</v>
      </c>
      <c r="R96" s="650">
        <f ca="1"/>
        <v>-2.8714380952380953E-2</v>
      </c>
      <c r="S96" t="str">
        <f ca="1"/>
        <v>ASML</v>
      </c>
      <c r="T96" s="87">
        <f ca="1"/>
        <v>-87420</v>
      </c>
      <c r="U96" t="str">
        <f ca="1"/>
        <v>ASML</v>
      </c>
      <c r="V96" s="87">
        <f ca="1"/>
        <v>-99300</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-127776.24999999999</v>
      </c>
      <c r="AI96" s="87" t="str">
        <f ca="1"/>
        <v>SAFIAG</v>
      </c>
      <c r="AJ96" s="87">
        <f ca="1"/>
        <v>-64279.999999999971</v>
      </c>
      <c r="AK96" s="90" t="str">
        <f ca="1"/>
        <v>PROF</v>
      </c>
      <c r="AL96" s="310">
        <f ca="1"/>
        <v>-2.8714380952380953E-2</v>
      </c>
      <c r="AM96" t="str">
        <f ca="1"/>
        <v>LAZR</v>
      </c>
      <c r="AN96" s="310">
        <f ca="1"/>
        <v>-0.94011605968259815</v>
      </c>
      <c r="AO96" t="str">
        <f ca="1"/>
        <v>LAZR</v>
      </c>
      <c r="AP96">
        <f ca="1"/>
        <v>16.408911751348736</v>
      </c>
      <c r="AQ96" s="87" t="str">
        <f ca="1"/>
        <v>GNRC</v>
      </c>
      <c r="AR96" s="90">
        <f ca="1"/>
        <v>-3.5059510810220567</v>
      </c>
      <c r="AS96" s="94" t="str">
        <f ca="1"/>
        <v>JBEOAN</v>
      </c>
      <c r="AT96" s="90">
        <f ca="1"/>
        <v>0</v>
      </c>
    </row>
    <row r="97" spans="2:45" x14ac:dyDescent="0.3">
      <c r="D97" s="153"/>
      <c r="F97" s="910">
        <f ca="1">AVERAGE(F4:F96)</f>
        <v>0.81355878824113204</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0.54843184414934687</v>
      </c>
      <c r="G101" s="560">
        <f t="shared" ref="G101" ca="1" si="2">_xlfn.XLOOKUP(G100,G3:G96,H3:H96)</f>
        <v>-13637.00999999998</v>
      </c>
      <c r="I101" s="310">
        <f t="shared" ref="I101" ca="1" si="3">_xlfn.XLOOKUP(I100,I3:I96,J3:J96)</f>
        <v>9.3799999999999994E-3</v>
      </c>
      <c r="K101" s="310">
        <f t="shared" ref="K101" ca="1" si="4">_xlfn.XLOOKUP(K100,K3:K96,L3:L96)</f>
        <v>9.3799999999999994E-3</v>
      </c>
      <c r="M101" s="560">
        <f t="shared" ref="M101" ca="1" si="5">_xlfn.XLOOKUP(M100,M3:M96,N3:N96)</f>
        <v>-15988.506666666646</v>
      </c>
      <c r="O101" s="560">
        <f t="shared" ref="O101" ca="1" si="6">_xlfn.XLOOKUP(O100,O3:O96,P3:P96)</f>
        <v>-9226.199349999999</v>
      </c>
      <c r="Q101" s="310">
        <f t="shared" ref="Q101" ca="1" si="7">_xlfn.XLOOKUP(Q100,Q3:Q96,R3:R96)</f>
        <v>1.974469642857142E-2</v>
      </c>
      <c r="S101" s="560">
        <f t="shared" ref="S101" ca="1" si="8">_xlfn.XLOOKUP(S100,S3:S96,T3:T96)</f>
        <v>11695.500000000029</v>
      </c>
      <c r="U101" s="560">
        <f t="shared" ref="U101" ca="1" si="9">_xlfn.XLOOKUP(U100,U3:U96,V3:V96)</f>
        <v>33295.500000000029</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624.75000000000057</v>
      </c>
      <c r="AI101" s="560">
        <f t="shared" ref="AI101" ca="1" si="16">_xlfn.XLOOKUP(AI100,AI3:AI96,AJ3:AJ96)</f>
        <v>9250.25</v>
      </c>
      <c r="AJ101"/>
      <c r="AK101" s="310">
        <f t="shared" ref="AK101" ca="1" si="17">_xlfn.XLOOKUP(AK100,AK3:AK96,AL3:AL96)</f>
        <v>1.974469642857142E-2</v>
      </c>
      <c r="AM101" s="310">
        <f t="shared" ref="AM101" ca="1" si="18">_xlfn.XLOOKUP(AM100,AM3:AM96,AN3:AN96)</f>
        <v>-6.1897638264679318E-2</v>
      </c>
      <c r="AO101" s="310">
        <f ca="1">_xlfn.XLOOKUP(AO100,AO3:AO96,AP3:AP96)</f>
        <v>6.3565133084070025E-2</v>
      </c>
      <c r="AQ101" s="310">
        <f t="shared" ref="AQ101" ca="1" si="19">_xlfn.XLOOKUP(AQ100,AQ3:AQ96,AR3:AR96)</f>
        <v>0.13015625000000011</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2"/>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61" t="str" cm="1">
        <f t="array" ref="B2">_xlfn.LET(_xlpm.Tick,[0]!IDTICKER,_xlfn.IFS(OR(LEFT(_xlpm.Tick,3)="SAF",LEFT(_xlpm.Tick,3)="MVE"),RIGHT(_xlpm.Tick, LEN(_xlpm.Tick)-3),LEFT(_xlpm.Tick,2)="JB",RIGHT(_xlpm.Tick, LEN(_xlpm.Tick)-2),TRUE,_xlpm.Tick))</f>
        <v>ASML</v>
      </c>
      <c r="K2" s="874" t="str">
        <f>TEXT(K3,"dd/mm/yyyy")</f>
        <v>01/01/2025</v>
      </c>
      <c r="L2" s="874" t="str">
        <f ca="1">TEXT(TODAY(),"dd/mm/yyyy")</f>
        <v>07/11/2025</v>
      </c>
      <c r="M2" s="875" t="s">
        <v>2300</v>
      </c>
    </row>
    <row r="3" spans="2:130" ht="23" thickBot="1" x14ac:dyDescent="0.35">
      <c r="B3" s="1462"/>
      <c r="C3" s="876"/>
      <c r="D3" s="876"/>
      <c r="E3" s="1207">
        <v>5.0000000000000001E-3</v>
      </c>
      <c r="I3" s="972" t="s">
        <v>2420</v>
      </c>
      <c r="J3" s="893" t="str">
        <f>B2</f>
        <v>ASML</v>
      </c>
      <c r="K3" s="1159">
        <v>45658</v>
      </c>
      <c r="L3" s="1159">
        <f ca="1">TODAY()</f>
        <v>45968</v>
      </c>
      <c r="M3" s="875">
        <f ca="1">MATCH(MAX(J5:J212),J5:J212,0)</f>
        <v>208</v>
      </c>
    </row>
    <row r="4" spans="2:130" x14ac:dyDescent="0.3">
      <c r="B4" s="89" t="s">
        <v>156</v>
      </c>
      <c r="C4" s="89" t="s">
        <v>2301</v>
      </c>
      <c r="D4" s="89" t="s">
        <v>196</v>
      </c>
      <c r="E4" s="294" t="s">
        <v>2640</v>
      </c>
      <c r="F4" s="294"/>
      <c r="G4" s="294" t="s">
        <v>2639</v>
      </c>
      <c r="H4" s="874">
        <f ca="1">COUNTIF(H5:H212,"=ZZ")</f>
        <v>16</v>
      </c>
      <c r="I4" s="972" t="s">
        <v>2421</v>
      </c>
      <c r="J4" s="89" t="str" cm="1">
        <f t="array" aca="1" ref="J4:K222"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45967</v>
      </c>
      <c r="C5" s="89" vm="2">
        <f ca="1"/>
        <v>895.3</v>
      </c>
      <c r="D5" s="1225">
        <f t="shared" ref="D5:D68" ca="1" si="0">IFERROR((C5-C6)/C6,0)</f>
        <v>-1.2464151775865948E-2</v>
      </c>
      <c r="E5" s="294" t="str" cm="1">
        <f t="array" aca="1" ref="E5" ca="1">_xlfn.IFS(D5&gt;ZPercent,"U",D5&lt;=-ZPercent,"D",TRUE,"Z")</f>
        <v>D</v>
      </c>
      <c r="F5" s="294" t="str">
        <f ca="1">_xlfn.CONCAT(E6,E5)</f>
        <v>DD</v>
      </c>
      <c r="G5" s="294" t="str">
        <f ca="1">_xlfn.CONCAT(E7,E6,E5)</f>
        <v>DDD</v>
      </c>
      <c r="H5" s="874" t="str">
        <f ca="1">IF(AND(E5="D",E6="Z"),"ZZ","")</f>
        <v/>
      </c>
      <c r="J5" s="89" vm="3">
        <f ca="1"/>
        <v>45659</v>
      </c>
      <c r="K5" s="89" vm="4">
        <f ca="1"/>
        <v>690</v>
      </c>
      <c r="N5" s="874" t="str">
        <f ca="1">IF(F5=[2]Sheet1!O3,"","dif")</f>
        <v>dif</v>
      </c>
    </row>
    <row r="6" spans="2:130" ht="22" customHeight="1" x14ac:dyDescent="0.3">
      <c r="B6" s="89" vm="5">
        <f ca="1"/>
        <v>45966</v>
      </c>
      <c r="C6" s="89" vm="6">
        <f ca="1"/>
        <v>906.6</v>
      </c>
      <c r="D6" s="1225">
        <f t="shared" ca="1" si="0"/>
        <v>-1.2418300653594746E-2</v>
      </c>
      <c r="E6" s="294" t="str" cm="1">
        <f t="array" aca="1" ref="E6" ca="1">_xlfn.IFS(D6&gt;ZPercent,"U",D6&lt;=-ZPercent,"D",TRUE,"Z")</f>
        <v>D</v>
      </c>
      <c r="F6" s="294" t="str">
        <f t="shared" ref="F6:F69" ca="1" si="1">_xlfn.CONCAT(E7,E6)</f>
        <v>DD</v>
      </c>
      <c r="G6" s="294" t="str">
        <f t="shared" ref="G6:G69" ca="1" si="2">_xlfn.CONCAT(E8,E7,E6)</f>
        <v>UDD</v>
      </c>
      <c r="H6" s="874" t="str">
        <f t="shared" ref="H6:H69" ca="1" si="3">IF(AND(E6="D",E7="Z"),"ZZ","")</f>
        <v/>
      </c>
      <c r="J6" s="89" vm="7">
        <f ca="1"/>
        <v>45660</v>
      </c>
      <c r="K6" s="89" vm="8">
        <f ca="1"/>
        <v>688</v>
      </c>
      <c r="N6" s="874" t="str">
        <f ca="1">IF(F6=[2]Sheet1!O4,"","dif")</f>
        <v/>
      </c>
    </row>
    <row r="7" spans="2:130" ht="22" customHeight="1" x14ac:dyDescent="0.3">
      <c r="B7" s="89" vm="9">
        <f ca="1"/>
        <v>45965</v>
      </c>
      <c r="C7" s="89" vm="10">
        <f ca="1"/>
        <v>918</v>
      </c>
      <c r="D7" s="1225">
        <f t="shared" ca="1" si="0"/>
        <v>-9.1743119266055051E-3</v>
      </c>
      <c r="E7" s="294" t="str" cm="1">
        <f t="array" aca="1" ref="E7" ca="1">_xlfn.IFS(D7&gt;ZPercent,"U",D7&lt;=-ZPercent,"D",TRUE,"Z")</f>
        <v>D</v>
      </c>
      <c r="F7" s="294" t="str">
        <f t="shared" ca="1" si="1"/>
        <v>UD</v>
      </c>
      <c r="G7" s="294" t="str">
        <f t="shared" ca="1" si="2"/>
        <v>DUD</v>
      </c>
      <c r="H7" s="874" t="str">
        <f t="shared" ca="1" si="3"/>
        <v/>
      </c>
      <c r="J7" s="89" vm="11">
        <f ca="1"/>
        <v>45663</v>
      </c>
      <c r="K7" s="89" vm="12">
        <f ca="1"/>
        <v>747.8</v>
      </c>
      <c r="N7" s="874" t="str">
        <f ca="1">IF(F7=[2]Sheet1!O5,"","dif")</f>
        <v>dif</v>
      </c>
    </row>
    <row r="8" spans="2:130" ht="22" customHeight="1" x14ac:dyDescent="0.3">
      <c r="B8" s="89" vm="13">
        <f ca="1"/>
        <v>45964</v>
      </c>
      <c r="C8" s="89" vm="14">
        <f ca="1"/>
        <v>926.5</v>
      </c>
      <c r="D8" s="1225">
        <f t="shared" ca="1" si="0"/>
        <v>9.1493301383291335E-3</v>
      </c>
      <c r="E8" s="294" t="str" cm="1">
        <f t="array" aca="1" ref="E8" ca="1">_xlfn.IFS(D8&gt;ZPercent,"U",D8&lt;=-ZPercent,"D",TRUE,"Z")</f>
        <v>U</v>
      </c>
      <c r="F8" s="294" t="str">
        <f t="shared" ca="1" si="1"/>
        <v>DU</v>
      </c>
      <c r="G8" s="294" t="str">
        <f t="shared" ca="1" si="2"/>
        <v>UDU</v>
      </c>
      <c r="H8" s="874" t="str">
        <f t="shared" ca="1" si="3"/>
        <v/>
      </c>
      <c r="J8" s="89" vm="15">
        <f ca="1"/>
        <v>45664</v>
      </c>
      <c r="K8" s="89" vm="16">
        <f ca="1"/>
        <v>738.4</v>
      </c>
      <c r="N8" s="874" t="str">
        <f ca="1">IF(F8=[2]Sheet1!O6,"","dif")</f>
        <v>dif</v>
      </c>
    </row>
    <row r="9" spans="2:130" x14ac:dyDescent="0.3">
      <c r="B9" s="89" vm="17">
        <f ca="1"/>
        <v>45961</v>
      </c>
      <c r="C9" s="89" vm="18">
        <f ca="1"/>
        <v>918.1</v>
      </c>
      <c r="D9" s="1225">
        <f t="shared" ca="1" si="0"/>
        <v>-2.069333333333331E-2</v>
      </c>
      <c r="E9" s="294" t="str" cm="1">
        <f t="array" aca="1" ref="E9" ca="1">_xlfn.IFS(D9&gt;ZPercent,"U",D9&lt;=-ZPercent,"D",TRUE,"Z")</f>
        <v>D</v>
      </c>
      <c r="F9" s="294" t="str">
        <f t="shared" ca="1" si="1"/>
        <v>UD</v>
      </c>
      <c r="G9" s="294" t="str">
        <f t="shared" ca="1" si="2"/>
        <v>UUD</v>
      </c>
      <c r="H9" s="874" t="str">
        <f t="shared" ca="1" si="3"/>
        <v/>
      </c>
      <c r="J9" s="89" vm="19">
        <f ca="1"/>
        <v>45665</v>
      </c>
      <c r="K9" s="89" vm="20">
        <f ca="1"/>
        <v>724.3</v>
      </c>
      <c r="N9" s="874" t="str">
        <f ca="1">IF(F9=[2]Sheet1!O7,"","dif")</f>
        <v>dif</v>
      </c>
      <c r="S9" s="874" t="str" cm="1">
        <f t="array" aca="1" ref="S9:AV9" ca="1">TRANSPOSE(R10:R39)</f>
        <v>DDD</v>
      </c>
      <c r="T9" s="874" t="str">
        <f ca="1"/>
        <v>UDD</v>
      </c>
      <c r="U9" s="874" t="str">
        <f ca="1"/>
        <v>DUD</v>
      </c>
      <c r="V9" s="874" t="str">
        <f ca="1"/>
        <v>UDU</v>
      </c>
      <c r="W9" s="874" t="str">
        <f ca="1"/>
        <v>UUD</v>
      </c>
      <c r="X9" s="874" t="str">
        <f ca="1"/>
        <v>ZUU</v>
      </c>
      <c r="Y9" s="874" t="str">
        <f ca="1"/>
        <v>UZU</v>
      </c>
      <c r="Z9" s="874" t="str">
        <f ca="1"/>
        <v>UUZ</v>
      </c>
      <c r="AA9" s="874" t="str">
        <f ca="1"/>
        <v>UUU</v>
      </c>
      <c r="AB9" s="874" t="str">
        <f ca="1"/>
        <v>DUU</v>
      </c>
      <c r="AC9" s="874" t="str">
        <f ca="1"/>
        <v>DDU</v>
      </c>
      <c r="AD9" s="874" t="str">
        <f ca="1"/>
        <v>ZUD</v>
      </c>
      <c r="AE9" s="874" t="str">
        <f ca="1"/>
        <v>DUZ</v>
      </c>
      <c r="AF9" s="874" t="str">
        <f ca="1"/>
        <v>ZDU</v>
      </c>
      <c r="AG9" s="874" t="str">
        <f ca="1"/>
        <v>DZD</v>
      </c>
      <c r="AH9" s="874" t="str">
        <f ca="1"/>
        <v>DDZ</v>
      </c>
      <c r="AI9" s="874" t="str">
        <f ca="1"/>
        <v>ZUZ</v>
      </c>
      <c r="AJ9" s="874" t="str">
        <f ca="1"/>
        <v>ZZU</v>
      </c>
      <c r="AK9" s="874" t="str">
        <f ca="1"/>
        <v>DZZ</v>
      </c>
      <c r="AL9" s="874" t="str">
        <f ca="1"/>
        <v>UDZ</v>
      </c>
      <c r="AM9" s="874" t="str">
        <f ca="1"/>
        <v>DZU</v>
      </c>
      <c r="AN9" s="874" t="str">
        <f ca="1"/>
        <v>ZDZ</v>
      </c>
      <c r="AO9" s="874" t="str">
        <f ca="1"/>
        <v>UZD</v>
      </c>
      <c r="AP9" s="874" t="str">
        <f ca="1"/>
        <v>ZDD</v>
      </c>
      <c r="AQ9" s="874">
        <f ca="1"/>
        <v>0</v>
      </c>
      <c r="AR9" s="874">
        <f ca="1"/>
        <v>0</v>
      </c>
      <c r="AS9" s="874">
        <f ca="1"/>
        <v>0</v>
      </c>
      <c r="AT9" s="874">
        <f ca="1"/>
        <v>0</v>
      </c>
      <c r="AU9" s="874">
        <f ca="1"/>
        <v>0</v>
      </c>
      <c r="AV9" s="874">
        <f ca="1"/>
        <v>0</v>
      </c>
      <c r="CS9" s="874" t="str" cm="1">
        <f t="array" aca="1" ref="CS9:DZ9" ca="1">TRANSPOSE(R10:R43)</f>
        <v>DDD</v>
      </c>
      <c r="CT9" s="874" t="str">
        <f ca="1"/>
        <v>UDD</v>
      </c>
      <c r="CU9" s="874" t="str">
        <f ca="1"/>
        <v>DUD</v>
      </c>
      <c r="CV9" s="874" t="str">
        <f ca="1"/>
        <v>UDU</v>
      </c>
      <c r="CW9" s="874" t="str">
        <f ca="1"/>
        <v>UUD</v>
      </c>
      <c r="CX9" s="874" t="str">
        <f ca="1"/>
        <v>ZUU</v>
      </c>
      <c r="CY9" s="874" t="str">
        <f ca="1"/>
        <v>UZU</v>
      </c>
      <c r="CZ9" s="874" t="str">
        <f ca="1"/>
        <v>UUZ</v>
      </c>
      <c r="DA9" s="874" t="str">
        <f ca="1"/>
        <v>UUU</v>
      </c>
      <c r="DB9" s="874" t="str">
        <f ca="1"/>
        <v>DUU</v>
      </c>
      <c r="DC9" s="874" t="str">
        <f ca="1"/>
        <v>DDU</v>
      </c>
      <c r="DD9" s="874" t="str">
        <f ca="1"/>
        <v>ZUD</v>
      </c>
      <c r="DE9" s="874" t="str">
        <f ca="1"/>
        <v>DUZ</v>
      </c>
      <c r="DF9" s="874" t="str">
        <f ca="1"/>
        <v>ZDU</v>
      </c>
      <c r="DG9" s="874" t="str">
        <f ca="1"/>
        <v>DZD</v>
      </c>
      <c r="DH9" s="874" t="str">
        <f ca="1"/>
        <v>DDZ</v>
      </c>
      <c r="DI9" s="874" t="str">
        <f ca="1"/>
        <v>ZUZ</v>
      </c>
      <c r="DJ9" s="874" t="str">
        <f ca="1"/>
        <v>ZZU</v>
      </c>
      <c r="DK9" s="874" t="str">
        <f ca="1"/>
        <v>DZZ</v>
      </c>
      <c r="DL9" s="874" t="str">
        <f ca="1"/>
        <v>UDZ</v>
      </c>
      <c r="DM9" s="874" t="str">
        <f ca="1"/>
        <v>DZU</v>
      </c>
      <c r="DN9" s="874" t="str">
        <f ca="1"/>
        <v>ZDZ</v>
      </c>
      <c r="DO9" s="874" t="str">
        <f ca="1"/>
        <v>UZD</v>
      </c>
      <c r="DP9" s="874" t="str">
        <f ca="1"/>
        <v>ZDD</v>
      </c>
      <c r="DQ9" s="874">
        <f ca="1"/>
        <v>0</v>
      </c>
      <c r="DR9" s="874">
        <f ca="1"/>
        <v>0</v>
      </c>
      <c r="DS9" s="874">
        <f ca="1"/>
        <v>0</v>
      </c>
      <c r="DT9" s="874">
        <f ca="1"/>
        <v>0</v>
      </c>
      <c r="DU9" s="874">
        <f ca="1"/>
        <v>0</v>
      </c>
      <c r="DV9" s="874">
        <f ca="1"/>
        <v>0</v>
      </c>
      <c r="DW9" s="874">
        <f ca="1"/>
        <v>0</v>
      </c>
      <c r="DX9" s="874">
        <f ca="1"/>
        <v>0</v>
      </c>
      <c r="DY9" s="874" t="str">
        <f ca="1"/>
        <v>Min</v>
      </c>
      <c r="DZ9" s="1208">
        <f ca="1"/>
        <v>1.7241379310344827E-2</v>
      </c>
    </row>
    <row r="10" spans="2:130" x14ac:dyDescent="0.3">
      <c r="B10" s="89" vm="21">
        <f ca="1"/>
        <v>45960</v>
      </c>
      <c r="C10" s="89" vm="22">
        <f ca="1"/>
        <v>937.5</v>
      </c>
      <c r="D10" s="1225">
        <f t="shared" ca="1" si="0"/>
        <v>1.9686752229715058E-2</v>
      </c>
      <c r="E10" s="294" t="str" cm="1">
        <f t="array" aca="1" ref="E10" ca="1">_xlfn.IFS(D10&gt;ZPercent,"U",D10&lt;=-ZPercent,"D",TRUE,"Z")</f>
        <v>U</v>
      </c>
      <c r="F10" s="294" t="str">
        <f t="shared" ca="1" si="1"/>
        <v>UU</v>
      </c>
      <c r="G10" s="294" t="str">
        <f t="shared" ca="1" si="2"/>
        <v>ZUU</v>
      </c>
      <c r="H10" s="874" t="str">
        <f t="shared" ca="1" si="3"/>
        <v/>
      </c>
      <c r="J10" s="89" vm="23">
        <f ca="1"/>
        <v>45666</v>
      </c>
      <c r="K10" s="89" vm="24">
        <f ca="1"/>
        <v>733.9</v>
      </c>
      <c r="N10" s="874" t="str">
        <f ca="1">IF(F10=[2]Sheet1!O8,"","dif")</f>
        <v>dif</v>
      </c>
      <c r="R10" s="874" t="str" cm="1">
        <f t="array" aca="1" ref="R10:R33" ca="1">_xlfn.UNIQUE(G5:G157)</f>
        <v>DDD</v>
      </c>
      <c r="S10" s="874" cm="1">
        <f t="array" aca="1" ref="S10" ca="1">SUM( ($G$7:$G$212=$R10) * ($G$6:$G$211=S$9) )</f>
        <v>3</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6</v>
      </c>
      <c r="AD10" s="874" cm="1">
        <f t="array" aca="1" ref="AD10" ca="1">SUM( ($G$7:$G$212=$R10) * ($G$6:$G$211=AD$9) )</f>
        <v>0</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2</v>
      </c>
      <c r="AI10" s="874" cm="1">
        <f t="array" aca="1" ref="AI10" ca="1">SUM( ($G$7:$G$212=$R10) * ($G$6:$G$211=AI$9) )</f>
        <v>0</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5" ca="1">_xlfn.UNIQUE(G$5:G$25)</f>
        <v>DDD</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45959</v>
      </c>
      <c r="C11" s="89" vm="26">
        <f ca="1"/>
        <v>919.4</v>
      </c>
      <c r="D11" s="1225">
        <f t="shared" ca="1" si="0"/>
        <v>1.3224597751818383E-2</v>
      </c>
      <c r="E11" s="294" t="str" cm="1">
        <f t="array" aca="1" ref="E11" ca="1">_xlfn.IFS(D11&gt;ZPercent,"U",D11&lt;=-ZPercent,"D",TRUE,"Z")</f>
        <v>U</v>
      </c>
      <c r="F11" s="294" t="str">
        <f t="shared" ca="1" si="1"/>
        <v>ZU</v>
      </c>
      <c r="G11" s="294" t="str">
        <f t="shared" ca="1" si="2"/>
        <v>UZU</v>
      </c>
      <c r="H11" s="874" t="str">
        <f t="shared" ca="1" si="3"/>
        <v/>
      </c>
      <c r="J11" s="89" vm="27">
        <f ca="1"/>
        <v>45667</v>
      </c>
      <c r="K11" s="89" vm="28">
        <f ca="1"/>
        <v>725.3</v>
      </c>
      <c r="N11" s="874" t="str">
        <f ca="1">IF(F11=[2]Sheet1!O9,"","dif")</f>
        <v>dif</v>
      </c>
      <c r="R11" s="874" t="str">
        <f ca="1"/>
        <v>UDD</v>
      </c>
      <c r="S11" s="874" cm="1">
        <f t="array" aca="1" ref="S11" ca="1">SUM( ($G$7:$G$212=$R11) * ($G$6:$G$211=S$9) )</f>
        <v>5</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9</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2</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UDD</v>
      </c>
      <c r="CS11" s="874" cm="1">
        <f t="array" aca="1" ref="CS11" ca="1">SUM( ($G$7:$G$25=$R11) * ($G$6:$G$24=CS$9) )</f>
        <v>0</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1</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45958</v>
      </c>
      <c r="C12" s="89" vm="30">
        <f ca="1"/>
        <v>907.4</v>
      </c>
      <c r="D12" s="1225">
        <f t="shared" ca="1" si="0"/>
        <v>-7.7084021583531052E-4</v>
      </c>
      <c r="E12" s="294" t="str" cm="1">
        <f t="array" aca="1" ref="E12" ca="1">_xlfn.IFS(D12&gt;ZPercent,"U",D12&lt;=-ZPercent,"D",TRUE,"Z")</f>
        <v>Z</v>
      </c>
      <c r="F12" s="294" t="str">
        <f t="shared" ca="1" si="1"/>
        <v>UZ</v>
      </c>
      <c r="G12" s="294" t="str">
        <f t="shared" ca="1" si="2"/>
        <v>UUZ</v>
      </c>
      <c r="H12" s="874" t="str">
        <f t="shared" ca="1" si="3"/>
        <v/>
      </c>
      <c r="J12" s="89" vm="31">
        <f ca="1"/>
        <v>45670</v>
      </c>
      <c r="K12" s="89" vm="32">
        <f ca="1"/>
        <v>711.5</v>
      </c>
      <c r="N12" s="874" t="str">
        <f ca="1">IF(F12=[2]Sheet1!O10,"","dif")</f>
        <v>dif</v>
      </c>
      <c r="R12" s="874" t="str">
        <f ca="1"/>
        <v>DUD</v>
      </c>
      <c r="S12" s="874" cm="1">
        <f t="array" aca="1" ref="S12" ca="1">SUM( ($G$7:$G$212=$R12) * ($G$6:$G$211=S$9) )</f>
        <v>0</v>
      </c>
      <c r="T12" s="874" cm="1">
        <f t="array" aca="1" ref="T12" ca="1">SUM( ($G$7:$G$212=$R12) * ($G$6:$G$211=T$9) )</f>
        <v>10</v>
      </c>
      <c r="U12" s="874" cm="1">
        <f t="array" aca="1" ref="U12" ca="1">SUM( ($G$7:$G$212=$R12) * ($G$6:$G$211=U$9) )</f>
        <v>0</v>
      </c>
      <c r="V12" s="874" cm="1">
        <f t="array" aca="1" ref="V12" ca="1">SUM( ($G$7:$G$212=$R12) * ($G$6:$G$211=V$9) )</f>
        <v>5</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1</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DUD</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45957</v>
      </c>
      <c r="C13" s="89" vm="34">
        <f ca="1"/>
        <v>908.1</v>
      </c>
      <c r="D13" s="1225">
        <f t="shared" ca="1" si="0"/>
        <v>1.5317531305903451E-2</v>
      </c>
      <c r="E13" s="294" t="str" cm="1">
        <f t="array" aca="1" ref="E13" ca="1">_xlfn.IFS(D13&gt;ZPercent,"U",D13&lt;=-ZPercent,"D",TRUE,"Z")</f>
        <v>U</v>
      </c>
      <c r="F13" s="294" t="str">
        <f t="shared" ca="1" si="1"/>
        <v>UU</v>
      </c>
      <c r="G13" s="294" t="str">
        <f t="shared" ca="1" si="2"/>
        <v>UUU</v>
      </c>
      <c r="H13" s="874" t="str">
        <f t="shared" ca="1" si="3"/>
        <v/>
      </c>
      <c r="J13" s="89" vm="35">
        <f ca="1"/>
        <v>45671</v>
      </c>
      <c r="K13" s="89" vm="36">
        <f ca="1"/>
        <v>712.7</v>
      </c>
      <c r="N13" s="874" t="str">
        <f ca="1">IF(F13=[2]Sheet1!O11,"","dif")</f>
        <v/>
      </c>
      <c r="R13" s="874" t="str">
        <f ca="1"/>
        <v>UDU</v>
      </c>
      <c r="S13" s="874" cm="1">
        <f t="array" aca="1" ref="S13" ca="1">SUM( ($G$7:$G$212=$R13) * ($G$6:$G$211=S$9) )</f>
        <v>0</v>
      </c>
      <c r="T13" s="874" cm="1">
        <f t="array" aca="1" ref="T13" ca="1">SUM( ($G$7:$G$212=$R13) * ($G$6:$G$211=T$9) )</f>
        <v>0</v>
      </c>
      <c r="U13" s="874" cm="1">
        <f t="array" aca="1" ref="U13" ca="1">SUM( ($G$7:$G$212=$R13) * ($G$6:$G$211=U$9) )</f>
        <v>7</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2</v>
      </c>
      <c r="AC13" s="874" cm="1">
        <f t="array" aca="1" ref="AC13" ca="1">SUM( ($G$7:$G$212=$R13) * ($G$6:$G$211=AC$9) )</f>
        <v>0</v>
      </c>
      <c r="AD13" s="874" cm="1">
        <f t="array" aca="1" ref="AD13" ca="1">SUM( ($G$7:$G$212=$R13) * ($G$6:$G$211=AD$9) )</f>
        <v>0</v>
      </c>
      <c r="AE13" s="874" cm="1">
        <f t="array" aca="1" ref="AE13" ca="1">SUM( ($G$7:$G$212=$R13) * ($G$6:$G$211=AE$9) )</f>
        <v>2</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UDU</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45954</v>
      </c>
      <c r="C14" s="89" vm="38">
        <f ca="1"/>
        <v>894.4</v>
      </c>
      <c r="D14" s="1225">
        <f t="shared" ca="1" si="0"/>
        <v>7.5475949081896263E-3</v>
      </c>
      <c r="E14" s="294" t="str" cm="1">
        <f t="array" aca="1" ref="E14" ca="1">_xlfn.IFS(D14&gt;ZPercent,"U",D14&lt;=-ZPercent,"D",TRUE,"Z")</f>
        <v>U</v>
      </c>
      <c r="F14" s="294" t="str">
        <f t="shared" ca="1" si="1"/>
        <v>UU</v>
      </c>
      <c r="G14" s="294" t="str">
        <f t="shared" ca="1" si="2"/>
        <v>DUU</v>
      </c>
      <c r="H14" s="874" t="str">
        <f t="shared" ca="1" si="3"/>
        <v/>
      </c>
      <c r="J14" s="89" vm="39">
        <f ca="1"/>
        <v>45672</v>
      </c>
      <c r="K14" s="89" vm="36">
        <f ca="1"/>
        <v>712.7</v>
      </c>
      <c r="N14" s="874" t="str">
        <f ca="1">IF(F14=[2]Sheet1!O12,"","dif")</f>
        <v>dif</v>
      </c>
      <c r="R14" s="874" t="str">
        <f ca="1"/>
        <v>UUD</v>
      </c>
      <c r="S14" s="874" cm="1">
        <f t="array" aca="1" ref="S14" ca="1">SUM( ($G$7:$G$212=$R14) * ($G$6:$G$211=S$9) )</f>
        <v>0</v>
      </c>
      <c r="T14" s="874" cm="1">
        <f t="array" aca="1" ref="T14" ca="1">SUM( ($G$7:$G$212=$R14) * ($G$6:$G$211=T$9) )</f>
        <v>3</v>
      </c>
      <c r="U14" s="874" cm="1">
        <f t="array" aca="1" ref="U14" ca="1">SUM( ($G$7:$G$212=$R14) * ($G$6:$G$211=U$9) )</f>
        <v>0</v>
      </c>
      <c r="V14" s="874" cm="1">
        <f t="array" aca="1" ref="V14" ca="1">SUM( ($G$7:$G$212=$R14) * ($G$6:$G$211=V$9) )</f>
        <v>5</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0</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2</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UUD</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0">
        <f ca="1"/>
        <v>45953</v>
      </c>
      <c r="C15" s="89" vm="41">
        <f ca="1"/>
        <v>887.7</v>
      </c>
      <c r="D15" s="1225">
        <f t="shared" ca="1" si="0"/>
        <v>2.0227560050568926E-2</v>
      </c>
      <c r="E15" s="294" t="str" cm="1">
        <f t="array" aca="1" ref="E15" ca="1">_xlfn.IFS(D15&gt;ZPercent,"U",D15&lt;=-ZPercent,"D",TRUE,"Z")</f>
        <v>U</v>
      </c>
      <c r="F15" s="294" t="str">
        <f t="shared" ca="1" si="1"/>
        <v>DU</v>
      </c>
      <c r="G15" s="294" t="str">
        <f t="shared" ca="1" si="2"/>
        <v>DDU</v>
      </c>
      <c r="H15" s="874" t="str">
        <f t="shared" ca="1" si="3"/>
        <v/>
      </c>
      <c r="J15" s="89" vm="42">
        <f ca="1"/>
        <v>45673</v>
      </c>
      <c r="K15" s="89" vm="43">
        <f ca="1"/>
        <v>745.4</v>
      </c>
      <c r="N15" s="874" t="str">
        <f ca="1">IF(F15=[2]Sheet1!O13,"","dif")</f>
        <v>dif</v>
      </c>
      <c r="R15" s="874" t="str">
        <f ca="1"/>
        <v>ZUU</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4</v>
      </c>
      <c r="X15" s="874" cm="1">
        <f t="array" aca="1" ref="X15" ca="1">SUM( ($G$7:$G$212=$R15) * ($G$6:$G$211=X$9) )</f>
        <v>0</v>
      </c>
      <c r="Y15" s="874" cm="1">
        <f t="array" aca="1" ref="Y15" ca="1">SUM( ($G$7:$G$212=$R15) * ($G$6:$G$211=Y$9) )</f>
        <v>0</v>
      </c>
      <c r="Z15" s="874" cm="1">
        <f t="array" aca="1" ref="Z15" ca="1">SUM( ($G$7:$G$212=$R15) * ($G$6:$G$211=Z$9) )</f>
        <v>4</v>
      </c>
      <c r="AA15" s="874" cm="1">
        <f t="array" aca="1" ref="AA15" ca="1">SUM( ($G$7:$G$212=$R15) * ($G$6:$G$211=AA$9) )</f>
        <v>3</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ZUU</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1</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4">
        <f ca="1"/>
        <v>45952</v>
      </c>
      <c r="C16" s="89" vm="45">
        <f ca="1"/>
        <v>870.1</v>
      </c>
      <c r="D16" s="1225">
        <f t="shared" ca="1" si="0"/>
        <v>-2.2139806698134337E-2</v>
      </c>
      <c r="E16" s="294" t="str" cm="1">
        <f t="array" aca="1" ref="E16" ca="1">_xlfn.IFS(D16&gt;ZPercent,"U",D16&lt;=-ZPercent,"D",TRUE,"Z")</f>
        <v>D</v>
      </c>
      <c r="F16" s="294" t="str">
        <f t="shared" ca="1" si="1"/>
        <v>DD</v>
      </c>
      <c r="G16" s="294" t="str">
        <f t="shared" ca="1" si="2"/>
        <v>UDD</v>
      </c>
      <c r="H16" s="874" t="str">
        <f t="shared" ca="1" si="3"/>
        <v/>
      </c>
      <c r="J16" s="89" vm="46">
        <f ca="1"/>
        <v>45674</v>
      </c>
      <c r="K16" s="89" vm="47">
        <f ca="1"/>
        <v>739.1</v>
      </c>
      <c r="N16" s="874" t="str">
        <f ca="1">IF(F16=[2]Sheet1!O14,"","dif")</f>
        <v>dif</v>
      </c>
      <c r="R16" s="874" t="str">
        <f ca="1"/>
        <v>UZU</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10</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3</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UZU</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2</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1</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8">
        <f ca="1"/>
        <v>45951</v>
      </c>
      <c r="C17" s="89" vm="49">
        <f ca="1"/>
        <v>889.8</v>
      </c>
      <c r="D17" s="1225">
        <f t="shared" ca="1" si="0"/>
        <v>-1.0233592880978916E-2</v>
      </c>
      <c r="E17" s="294" t="str" cm="1">
        <f t="array" aca="1" ref="E17" ca="1">_xlfn.IFS(D17&gt;ZPercent,"U",D17&lt;=-ZPercent,"D",TRUE,"Z")</f>
        <v>D</v>
      </c>
      <c r="F17" s="294" t="str">
        <f t="shared" ca="1" si="1"/>
        <v>UD</v>
      </c>
      <c r="G17" s="294" t="str">
        <f t="shared" ca="1" si="2"/>
        <v>ZUD</v>
      </c>
      <c r="H17" s="874" t="str">
        <f t="shared" ca="1" si="3"/>
        <v/>
      </c>
      <c r="J17" s="89" vm="50">
        <f ca="1"/>
        <v>45677</v>
      </c>
      <c r="K17" s="89" vm="51">
        <f ca="1"/>
        <v>748</v>
      </c>
      <c r="N17" s="874" t="str">
        <f ca="1">IF(F17=[2]Sheet1!O15,"","dif")</f>
        <v>dif</v>
      </c>
      <c r="R17" s="874" t="str">
        <f ca="1"/>
        <v>UUZ</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7</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5</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UUZ</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2</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2">
        <f ca="1"/>
        <v>45950</v>
      </c>
      <c r="C18" s="89" vm="53">
        <f ca="1"/>
        <v>899</v>
      </c>
      <c r="D18" s="1225">
        <f t="shared" ca="1" si="0"/>
        <v>2.6607285600091301E-2</v>
      </c>
      <c r="E18" s="294" t="str" cm="1">
        <f t="array" aca="1" ref="E18" ca="1">_xlfn.IFS(D18&gt;ZPercent,"U",D18&lt;=-ZPercent,"D",TRUE,"Z")</f>
        <v>U</v>
      </c>
      <c r="F18" s="294" t="str">
        <f t="shared" ca="1" si="1"/>
        <v>ZU</v>
      </c>
      <c r="G18" s="294" t="str">
        <f t="shared" ca="1" si="2"/>
        <v>UZU</v>
      </c>
      <c r="H18" s="874" t="str">
        <f t="shared" ca="1" si="3"/>
        <v/>
      </c>
      <c r="J18" s="89" vm="54">
        <f ca="1"/>
        <v>45678</v>
      </c>
      <c r="K18" s="89" vm="55">
        <f ca="1"/>
        <v>732.4</v>
      </c>
      <c r="N18" s="874" t="str">
        <f ca="1">IF(F18=[2]Sheet1!O16,"","dif")</f>
        <v>dif</v>
      </c>
      <c r="R18" s="874" t="str">
        <f ca="1"/>
        <v>UUU</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2</v>
      </c>
      <c r="X18" s="874" cm="1">
        <f t="array" aca="1" ref="X18" ca="1">SUM( ($G$7:$G$212=$R18) * ($G$6:$G$211=X$9) )</f>
        <v>0</v>
      </c>
      <c r="Y18" s="874" cm="1">
        <f t="array" aca="1" ref="Y18" ca="1">SUM( ($G$7:$G$212=$R18) * ($G$6:$G$211=Y$9) )</f>
        <v>0</v>
      </c>
      <c r="Z18" s="874" cm="1">
        <f t="array" aca="1" ref="Z18" ca="1">SUM( ($G$7:$G$212=$R18) * ($G$6:$G$211=Z$9) )</f>
        <v>5</v>
      </c>
      <c r="AA18" s="874" cm="1">
        <f t="array" aca="1" ref="AA18" ca="1">SUM( ($G$7:$G$212=$R18) * ($G$6:$G$211=AA$9) )</f>
        <v>7</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UUU</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6">
        <f ca="1"/>
        <v>45947</v>
      </c>
      <c r="C19" s="89" vm="57">
        <f ca="1"/>
        <v>875.7</v>
      </c>
      <c r="D19" s="1225">
        <f t="shared" ca="1" si="0"/>
        <v>-1.9375427399133027E-3</v>
      </c>
      <c r="E19" s="294" t="str" cm="1">
        <f t="array" aca="1" ref="E19" ca="1">_xlfn.IFS(D19&gt;ZPercent,"U",D19&lt;=-ZPercent,"D",TRUE,"Z")</f>
        <v>Z</v>
      </c>
      <c r="F19" s="294" t="str">
        <f t="shared" ca="1" si="1"/>
        <v>UZ</v>
      </c>
      <c r="G19" s="294" t="str">
        <f t="shared" ca="1" si="2"/>
        <v>UUZ</v>
      </c>
      <c r="H19" s="874" t="str">
        <f t="shared" ca="1" si="3"/>
        <v/>
      </c>
      <c r="J19" s="89" vm="58">
        <f ca="1"/>
        <v>45679</v>
      </c>
      <c r="K19" s="89" vm="59">
        <f ca="1"/>
        <v>748.1</v>
      </c>
      <c r="N19" s="874" t="str">
        <f ca="1">IF(F19=[2]Sheet1!O17,"","dif")</f>
        <v>dif</v>
      </c>
      <c r="R19" s="874" t="str">
        <f ca="1"/>
        <v>DUU</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4</v>
      </c>
      <c r="X19" s="874" cm="1">
        <f t="array" aca="1" ref="X19" ca="1">SUM( ($G$7:$G$212=$R19) * ($G$6:$G$211=X$9) )</f>
        <v>0</v>
      </c>
      <c r="Y19" s="874" cm="1">
        <f t="array" aca="1" ref="Y19" ca="1">SUM( ($G$7:$G$212=$R19) * ($G$6:$G$211=Y$9) )</f>
        <v>0</v>
      </c>
      <c r="Z19" s="874" cm="1">
        <f t="array" aca="1" ref="Z19" ca="1">SUM( ($G$7:$G$212=$R19) * ($G$6:$G$211=Z$9) )</f>
        <v>3</v>
      </c>
      <c r="AA19" s="874" cm="1">
        <f t="array" aca="1" ref="AA19" ca="1">SUM( ($G$7:$G$212=$R19) * ($G$6:$G$211=AA$9) )</f>
        <v>4</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0</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DUU</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0">
        <f ca="1"/>
        <v>45946</v>
      </c>
      <c r="C20" s="89" vm="61">
        <f ca="1"/>
        <v>877.4</v>
      </c>
      <c r="D20" s="1225">
        <f t="shared" ca="1" si="0"/>
        <v>5.0400916380297566E-3</v>
      </c>
      <c r="E20" s="294" t="str" cm="1">
        <f t="array" aca="1" ref="E20" ca="1">_xlfn.IFS(D20&gt;ZPercent,"U",D20&lt;=-ZPercent,"D",TRUE,"Z")</f>
        <v>U</v>
      </c>
      <c r="F20" s="294" t="str">
        <f t="shared" ca="1" si="1"/>
        <v>UU</v>
      </c>
      <c r="G20" s="294" t="str">
        <f t="shared" ca="1" si="2"/>
        <v>ZUU</v>
      </c>
      <c r="H20" s="874" t="str">
        <f t="shared" ca="1" si="3"/>
        <v/>
      </c>
      <c r="J20" s="89" vm="62">
        <f ca="1"/>
        <v>45680</v>
      </c>
      <c r="K20" s="89" vm="63">
        <f ca="1"/>
        <v>715.3</v>
      </c>
      <c r="N20" s="874" t="str">
        <f ca="1">IF(F20=[2]Sheet1!O18,"","dif")</f>
        <v>dif</v>
      </c>
      <c r="R20" s="874" t="str">
        <f ca="1"/>
        <v>DDU</v>
      </c>
      <c r="S20" s="874" cm="1">
        <f t="array" aca="1" ref="S20" ca="1">SUM( ($G$7:$G$212=$R20) * ($G$6:$G$211=S$9) )</f>
        <v>0</v>
      </c>
      <c r="T20" s="874" cm="1">
        <f t="array" aca="1" ref="T20" ca="1">SUM( ($G$7:$G$212=$R20) * ($G$6:$G$211=T$9) )</f>
        <v>0</v>
      </c>
      <c r="U20" s="874" cm="1">
        <f t="array" aca="1" ref="U20" ca="1">SUM( ($G$7:$G$212=$R20) * ($G$6:$G$211=U$9) )</f>
        <v>5</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6</v>
      </c>
      <c r="AC20" s="874" cm="1">
        <f t="array" aca="1" ref="AC20" ca="1">SUM( ($G$7:$G$212=$R20) * ($G$6:$G$211=AC$9) )</f>
        <v>0</v>
      </c>
      <c r="AD20" s="874" cm="1">
        <f t="array" aca="1" ref="AD20" ca="1">SUM( ($G$7:$G$212=$R20) * ($G$6:$G$211=AD$9) )</f>
        <v>0</v>
      </c>
      <c r="AE20" s="874" cm="1">
        <f t="array" aca="1" ref="AE20" ca="1">SUM( ($G$7:$G$212=$R20) * ($G$6:$G$211=AE$9) )</f>
        <v>4</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DDU</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1</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4">
        <f ca="1"/>
        <v>45945</v>
      </c>
      <c r="C21" s="89" vm="65">
        <f ca="1"/>
        <v>873</v>
      </c>
      <c r="D21" s="1225">
        <f t="shared" ca="1" si="0"/>
        <v>3.1183557760453551E-2</v>
      </c>
      <c r="E21" s="294" t="str" cm="1">
        <f t="array" aca="1" ref="E21" ca="1">_xlfn.IFS(D21&gt;ZPercent,"U",D21&lt;=-ZPercent,"D",TRUE,"Z")</f>
        <v>U</v>
      </c>
      <c r="F21" s="294" t="str">
        <f t="shared" ca="1" si="1"/>
        <v>ZU</v>
      </c>
      <c r="G21" s="294" t="str">
        <f t="shared" ca="1" si="2"/>
        <v>UZU</v>
      </c>
      <c r="H21" s="874" t="str">
        <f t="shared" ca="1" si="3"/>
        <v/>
      </c>
      <c r="J21" s="89" vm="66">
        <f ca="1"/>
        <v>45681</v>
      </c>
      <c r="K21" s="89" vm="67">
        <f ca="1"/>
        <v>700.7</v>
      </c>
      <c r="N21" s="874" t="str">
        <f ca="1">IF(F21=[2]Sheet1!O19,"","dif")</f>
        <v>dif</v>
      </c>
      <c r="R21" s="874" t="str">
        <f ca="1"/>
        <v>ZUD</v>
      </c>
      <c r="S21" s="874" cm="1">
        <f t="array" aca="1" ref="S21" ca="1">SUM( ($G$7:$G$212=$R21) * ($G$6:$G$211=S$9) )</f>
        <v>0</v>
      </c>
      <c r="T21" s="874" cm="1">
        <f t="array" aca="1" ref="T21" ca="1">SUM( ($G$7:$G$212=$R21) * ($G$6:$G$211=T$9) )</f>
        <v>4</v>
      </c>
      <c r="U21" s="874" cm="1">
        <f t="array" aca="1" ref="U21" ca="1">SUM( ($G$7:$G$212=$R21) * ($G$6:$G$211=U$9) )</f>
        <v>0</v>
      </c>
      <c r="V21" s="874" cm="1">
        <f t="array" aca="1" ref="V21" ca="1">SUM( ($G$7:$G$212=$R21) * ($G$6:$G$211=V$9) )</f>
        <v>1</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0</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1</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ZUD</v>
      </c>
      <c r="CS21" s="874" cm="1">
        <f t="array" aca="1" ref="CS21" ca="1">SUM( ($G$7:$G$25=$R21) * ($G$6:$G$24=CS$9) )</f>
        <v>0</v>
      </c>
      <c r="CT21" s="874" cm="1">
        <f t="array" aca="1" ref="CT21" ca="1">SUM( ($G$7:$G$25=$R21) * ($G$6:$G$24=CT$9) )</f>
        <v>1</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0</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8">
        <f ca="1"/>
        <v>45944</v>
      </c>
      <c r="C22" s="89" vm="69">
        <f ca="1"/>
        <v>846.6</v>
      </c>
      <c r="D22" s="1225">
        <f t="shared" ca="1" si="0"/>
        <v>3.080568720379174E-3</v>
      </c>
      <c r="E22" s="294" t="str" cm="1">
        <f t="array" aca="1" ref="E22" ca="1">_xlfn.IFS(D22&gt;ZPercent,"U",D22&lt;=-ZPercent,"D",TRUE,"Z")</f>
        <v>Z</v>
      </c>
      <c r="F22" s="294" t="str">
        <f t="shared" ca="1" si="1"/>
        <v>UZ</v>
      </c>
      <c r="G22" s="294" t="str">
        <f t="shared" ca="1" si="2"/>
        <v>DUZ</v>
      </c>
      <c r="H22" s="874" t="str">
        <f t="shared" ca="1" si="3"/>
        <v/>
      </c>
      <c r="J22" s="89" vm="70">
        <f ca="1"/>
        <v>45684</v>
      </c>
      <c r="K22" s="89" vm="71">
        <f ca="1"/>
        <v>651.6</v>
      </c>
      <c r="N22" s="874" t="str">
        <f ca="1">IF(F22=[2]Sheet1!O20,"","dif")</f>
        <v>dif</v>
      </c>
      <c r="R22" s="874" t="str">
        <f ca="1"/>
        <v>DUZ</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5</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0</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3</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0</v>
      </c>
      <c r="AT22" s="874" cm="1">
        <f t="array" aca="1" ref="AT22" ca="1">SUM( ($G$7:$G$212=$R22) * ($G$6:$G$211=AT$9) )</f>
        <v>0</v>
      </c>
      <c r="AU22" s="874" cm="1">
        <f t="array" aca="1" ref="AU22" ca="1">SUM( ($G$7:$G$212=$R22) * ($G$6:$G$211=AU$9) )</f>
        <v>0</v>
      </c>
      <c r="CR22" s="874" t="str">
        <f ca="1"/>
        <v>DUZ</v>
      </c>
    </row>
    <row r="23" spans="2:119" x14ac:dyDescent="0.3">
      <c r="B23" s="89" vm="72">
        <f ca="1"/>
        <v>45943</v>
      </c>
      <c r="C23" s="89" vm="73">
        <f ca="1"/>
        <v>844</v>
      </c>
      <c r="D23" s="1225">
        <f t="shared" ca="1" si="0"/>
        <v>3.698243027398946E-2</v>
      </c>
      <c r="E23" s="294" t="str" cm="1">
        <f t="array" aca="1" ref="E23" ca="1">_xlfn.IFS(D23&gt;ZPercent,"U",D23&lt;=-ZPercent,"D",TRUE,"Z")</f>
        <v>U</v>
      </c>
      <c r="F23" s="294" t="str">
        <f t="shared" ca="1" si="1"/>
        <v>DU</v>
      </c>
      <c r="G23" s="294" t="str">
        <f t="shared" ca="1" si="2"/>
        <v>ZDU</v>
      </c>
      <c r="H23" s="874" t="str">
        <f t="shared" ca="1" si="3"/>
        <v/>
      </c>
      <c r="J23" s="89" vm="74">
        <f ca="1"/>
        <v>45685</v>
      </c>
      <c r="K23" s="89" vm="75">
        <f ca="1"/>
        <v>646.6</v>
      </c>
      <c r="N23" s="874" t="str">
        <f ca="1">IF(F23=[2]Sheet1!O21,"","dif")</f>
        <v>dif</v>
      </c>
      <c r="R23" s="874" t="str">
        <f ca="1"/>
        <v>ZDU</v>
      </c>
      <c r="S23" s="874" cm="1">
        <f t="array" aca="1" ref="S23" ca="1">SUM( ($G$7:$G$212=$R23) * ($G$6:$G$211=S$9) )</f>
        <v>0</v>
      </c>
      <c r="T23" s="874" cm="1">
        <f t="array" aca="1" ref="T23" ca="1">SUM( ($G$7:$G$212=$R23) * ($G$6:$G$211=T$9) )</f>
        <v>0</v>
      </c>
      <c r="U23" s="874" cm="1">
        <f t="array" aca="1" ref="U23" ca="1">SUM( ($G$7:$G$212=$R23) * ($G$6:$G$211=U$9) )</f>
        <v>4</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0</v>
      </c>
      <c r="AB23" s="874" cm="1">
        <f t="array" aca="1" ref="AB23" ca="1">SUM( ($G$7:$G$212=$R23) * ($G$6:$G$211=AB$9) )</f>
        <v>3</v>
      </c>
      <c r="AC23" s="874" cm="1">
        <f t="array" aca="1" ref="AC23" ca="1">SUM( ($G$7:$G$212=$R23) * ($G$6:$G$211=AC$9) )</f>
        <v>0</v>
      </c>
      <c r="AD23" s="874" cm="1">
        <f t="array" aca="1" ref="AD23" ca="1">SUM( ($G$7:$G$212=$R23) * ($G$6:$G$211=AD$9) )</f>
        <v>0</v>
      </c>
      <c r="AE23" s="874" cm="1">
        <f t="array" aca="1" ref="AE23" ca="1">SUM( ($G$7:$G$212=$R23) * ($G$6:$G$211=AE$9) )</f>
        <v>2</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c r="CR23" s="874" t="str">
        <f ca="1"/>
        <v>ZDU</v>
      </c>
    </row>
    <row r="24" spans="2:119" x14ac:dyDescent="0.3">
      <c r="B24" s="89" vm="76">
        <f ca="1"/>
        <v>45940</v>
      </c>
      <c r="C24" s="89" vm="77">
        <f ca="1"/>
        <v>813.9</v>
      </c>
      <c r="D24" s="1225">
        <f t="shared" ca="1" si="0"/>
        <v>-4.2245234172746504E-2</v>
      </c>
      <c r="E24" s="294" t="str" cm="1">
        <f t="array" aca="1" ref="E24" ca="1">_xlfn.IFS(D24&gt;ZPercent,"U",D24&lt;=-ZPercent,"D",TRUE,"Z")</f>
        <v>D</v>
      </c>
      <c r="F24" s="294" t="str">
        <f t="shared" ca="1" si="1"/>
        <v>ZD</v>
      </c>
      <c r="G24" s="294" t="str">
        <f t="shared" ca="1" si="2"/>
        <v>DZD</v>
      </c>
      <c r="H24" s="874" t="str">
        <f t="shared" ca="1" si="3"/>
        <v>ZZ</v>
      </c>
      <c r="J24" s="89" vm="78">
        <f ca="1"/>
        <v>45686</v>
      </c>
      <c r="K24" s="89" vm="79">
        <f ca="1"/>
        <v>682.5</v>
      </c>
      <c r="N24" s="874" t="str">
        <f ca="1">IF(F24=[2]Sheet1!O22,"","dif")</f>
        <v>dif</v>
      </c>
      <c r="R24" s="874" t="str">
        <f ca="1"/>
        <v>DZD</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3</v>
      </c>
      <c r="AG24" s="874" cm="1">
        <f t="array" aca="1" ref="AG24" ca="1">SUM( ($G$7:$G$212=$R24) * ($G$6:$G$211=AG$9) )</f>
        <v>0</v>
      </c>
      <c r="AH24" s="874" cm="1">
        <f t="array" aca="1" ref="AH24" ca="1">SUM( ($G$7:$G$212=$R24) * ($G$6:$G$211=AH$9) )</f>
        <v>0</v>
      </c>
      <c r="AI24" s="874" cm="1">
        <f t="array" aca="1" ref="AI24" ca="1">SUM( ($G$7:$G$212=$R24) * ($G$6:$G$211=AI$9) )</f>
        <v>0</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2</v>
      </c>
      <c r="AO24" s="874" cm="1">
        <f t="array" aca="1" ref="AO24" ca="1">SUM( ($G$7:$G$212=$R24) * ($G$6:$G$211=AO$9) )</f>
        <v>0</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c r="CR24" s="874" t="str">
        <f ca="1"/>
        <v>DZD</v>
      </c>
    </row>
    <row r="25" spans="2:119" ht="21" customHeight="1" x14ac:dyDescent="0.3">
      <c r="B25" s="89" vm="80">
        <f ca="1"/>
        <v>45939</v>
      </c>
      <c r="C25" s="89" vm="81">
        <f ca="1"/>
        <v>849.8</v>
      </c>
      <c r="D25" s="1225">
        <f t="shared" ca="1" si="0"/>
        <v>-2.3479690068091102E-3</v>
      </c>
      <c r="E25" s="294" t="str" cm="1">
        <f t="array" aca="1" ref="E25" ca="1">_xlfn.IFS(D25&gt;ZPercent,"U",D25&lt;=-ZPercent,"D",TRUE,"Z")</f>
        <v>Z</v>
      </c>
      <c r="F25" s="294" t="str">
        <f t="shared" ca="1" si="1"/>
        <v>DZ</v>
      </c>
      <c r="G25" s="294" t="str">
        <f t="shared" ca="1" si="2"/>
        <v>DDZ</v>
      </c>
      <c r="H25" s="874" t="str">
        <f t="shared" ca="1" si="3"/>
        <v/>
      </c>
      <c r="J25" s="89" vm="82">
        <f ca="1"/>
        <v>45687</v>
      </c>
      <c r="K25" s="89" vm="83">
        <f ca="1"/>
        <v>706.7</v>
      </c>
      <c r="N25" s="874" t="str">
        <f ca="1">IF(F25=[2]Sheet1!O23,"","dif")</f>
        <v>dif</v>
      </c>
      <c r="R25" s="874" t="str">
        <f ca="1"/>
        <v>DDZ</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0</v>
      </c>
      <c r="AF25" s="874" cm="1">
        <f t="array" aca="1" ref="AF25" ca="1">SUM( ($G$7:$G$212=$R25) * ($G$6:$G$211=AF$9) )</f>
        <v>0</v>
      </c>
      <c r="AG25" s="874" cm="1">
        <f t="array" aca="1" ref="AG25" ca="1">SUM( ($G$7:$G$212=$R25) * ($G$6:$G$211=AG$9) )</f>
        <v>3</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1</v>
      </c>
      <c r="AN25" s="874" cm="1">
        <f t="array" aca="1" ref="AN25" ca="1">SUM( ($G$7:$G$212=$R25) * ($G$6:$G$211=AN$9) )</f>
        <v>0</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c r="CR25" s="874" t="str">
        <f ca="1"/>
        <v>DDZ</v>
      </c>
    </row>
    <row r="26" spans="2:119" ht="21" customHeight="1" x14ac:dyDescent="0.3">
      <c r="B26" s="89" vm="84">
        <f ca="1"/>
        <v>45938</v>
      </c>
      <c r="C26" s="89" vm="85">
        <f ca="1"/>
        <v>851.8</v>
      </c>
      <c r="D26" s="1225">
        <f t="shared" ca="1" si="0"/>
        <v>-2.6291723822588021E-2</v>
      </c>
      <c r="E26" s="294" t="str" cm="1">
        <f t="array" aca="1" ref="E26" ca="1">_xlfn.IFS(D26&gt;ZPercent,"U",D26&lt;=-ZPercent,"D",TRUE,"Z")</f>
        <v>D</v>
      </c>
      <c r="F26" s="294" t="str">
        <f t="shared" ca="1" si="1"/>
        <v>DD</v>
      </c>
      <c r="G26" s="294" t="str">
        <f t="shared" ca="1" si="2"/>
        <v>UDD</v>
      </c>
      <c r="H26" s="874" t="str">
        <f t="shared" ca="1" si="3"/>
        <v/>
      </c>
      <c r="J26" s="89" vm="86">
        <f ca="1"/>
        <v>45688</v>
      </c>
      <c r="K26" s="89" vm="87">
        <f ca="1"/>
        <v>722.7</v>
      </c>
      <c r="N26" s="874" t="str">
        <f ca="1">IF(F26=[2]Sheet1!O24,"","dif")</f>
        <v>dif</v>
      </c>
      <c r="R26" s="874" t="str">
        <f ca="1"/>
        <v>ZUZ</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0</v>
      </c>
      <c r="W26" s="874" cm="1">
        <f t="array" aca="1" ref="W26" ca="1">SUM( ($G$7:$G$212=$R26) * ($G$6:$G$211=W$9) )</f>
        <v>0</v>
      </c>
      <c r="X26" s="874" cm="1">
        <f t="array" aca="1" ref="X26" ca="1">SUM( ($G$7:$G$212=$R26) * ($G$6:$G$211=X$9) )</f>
        <v>0</v>
      </c>
      <c r="Y26" s="874" cm="1">
        <f t="array" aca="1" ref="Y26" ca="1">SUM( ($G$7:$G$212=$R26) * ($G$6:$G$211=Y$9) )</f>
        <v>1</v>
      </c>
      <c r="Z26" s="874" cm="1">
        <f t="array" aca="1" ref="Z26" ca="1">SUM( ($G$7:$G$212=$R26) * ($G$6:$G$211=Z$9) )</f>
        <v>0</v>
      </c>
      <c r="AA26" s="874" cm="1">
        <f t="array" aca="1" ref="AA26" ca="1">SUM( ($G$7:$G$212=$R26) * ($G$6:$G$211=AA$9) )</f>
        <v>0</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1</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8">
        <f ca="1"/>
        <v>45937</v>
      </c>
      <c r="C27" s="89" vm="89">
        <f ca="1"/>
        <v>874.8</v>
      </c>
      <c r="D27" s="1225">
        <f t="shared" ca="1" si="0"/>
        <v>-2.5075225677031094E-2</v>
      </c>
      <c r="E27" s="294" t="str" cm="1">
        <f t="array" aca="1" ref="E27" ca="1">_xlfn.IFS(D27&gt;ZPercent,"U",D27&lt;=-ZPercent,"D",TRUE,"Z")</f>
        <v>D</v>
      </c>
      <c r="F27" s="294" t="str">
        <f t="shared" ca="1" si="1"/>
        <v>UD</v>
      </c>
      <c r="G27" s="294" t="str">
        <f t="shared" ca="1" si="2"/>
        <v>ZUD</v>
      </c>
      <c r="H27" s="874" t="str">
        <f t="shared" ca="1" si="3"/>
        <v/>
      </c>
      <c r="J27" s="89" vm="90">
        <f ca="1"/>
        <v>45691</v>
      </c>
      <c r="K27" s="89" vm="91">
        <f ca="1"/>
        <v>709.9</v>
      </c>
      <c r="N27" s="874" t="str">
        <f ca="1">IF(F27=[2]Sheet1!O25,"","dif")</f>
        <v>dif</v>
      </c>
      <c r="R27" s="874" t="str">
        <f ca="1"/>
        <v>ZZU</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0</v>
      </c>
      <c r="AH27" s="874" cm="1">
        <f t="array" aca="1" ref="AH27" ca="1">SUM( ($G$7:$G$212=$R27) * ($G$6:$G$211=AH$9) )</f>
        <v>0</v>
      </c>
      <c r="AI27" s="874" cm="1">
        <f t="array" aca="1" ref="AI27" ca="1">SUM( ($G$7:$G$212=$R27) * ($G$6:$G$211=AI$9) )</f>
        <v>2</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2">
        <f ca="1"/>
        <v>45936</v>
      </c>
      <c r="C28" s="89" vm="93">
        <f ca="1"/>
        <v>897.3</v>
      </c>
      <c r="D28" s="1225">
        <f t="shared" ca="1" si="0"/>
        <v>1.954323372344044E-2</v>
      </c>
      <c r="E28" s="294" t="str" cm="1">
        <f t="array" aca="1" ref="E28" ca="1">_xlfn.IFS(D28&gt;ZPercent,"U",D28&lt;=-ZPercent,"D",TRUE,"Z")</f>
        <v>U</v>
      </c>
      <c r="F28" s="294" t="str">
        <f t="shared" ca="1" si="1"/>
        <v>ZU</v>
      </c>
      <c r="G28" s="294" t="str">
        <f t="shared" ca="1" si="2"/>
        <v>UZU</v>
      </c>
      <c r="H28" s="874" t="str">
        <f t="shared" ca="1" si="3"/>
        <v/>
      </c>
      <c r="J28" s="89" vm="94">
        <f ca="1"/>
        <v>45692</v>
      </c>
      <c r="K28" s="89" vm="95">
        <f ca="1"/>
        <v>712.4</v>
      </c>
      <c r="N28" s="874" t="str">
        <f ca="1">IF(F28=[2]Sheet1!O26,"","dif")</f>
        <v/>
      </c>
      <c r="R28" s="874" t="str">
        <f ca="1"/>
        <v>DZZ</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0</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2</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6">
        <f ca="1"/>
        <v>45933</v>
      </c>
      <c r="C29" s="89" vm="97">
        <f ca="1"/>
        <v>880.1</v>
      </c>
      <c r="D29" s="1225">
        <f t="shared" ca="1" si="0"/>
        <v>2.8486782133090244E-3</v>
      </c>
      <c r="E29" s="294" t="str" cm="1">
        <f t="array" aca="1" ref="E29" ca="1">_xlfn.IFS(D29&gt;ZPercent,"U",D29&lt;=-ZPercent,"D",TRUE,"Z")</f>
        <v>Z</v>
      </c>
      <c r="F29" s="294" t="str">
        <f t="shared" ca="1" si="1"/>
        <v>UZ</v>
      </c>
      <c r="G29" s="294" t="str">
        <f t="shared" ca="1" si="2"/>
        <v>UUZ</v>
      </c>
      <c r="H29" s="874" t="str">
        <f t="shared" ca="1" si="3"/>
        <v/>
      </c>
      <c r="J29" s="89" vm="98">
        <f ca="1"/>
        <v>45693</v>
      </c>
      <c r="K29" s="89" vm="99">
        <f ca="1"/>
        <v>706.1</v>
      </c>
      <c r="N29" s="874" t="str">
        <f ca="1">IF(F29=[2]Sheet1!O27,"","dif")</f>
        <v>dif</v>
      </c>
      <c r="R29" s="874" t="str">
        <f ca="1"/>
        <v>UDZ</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2</v>
      </c>
      <c r="AH29" s="874" cm="1">
        <f t="array" aca="1" ref="AH29" ca="1">SUM( ($G$7:$G$212=$R29) * ($G$6:$G$211=AH$9) )</f>
        <v>0</v>
      </c>
      <c r="AI29" s="874" cm="1">
        <f t="array" aca="1" ref="AI29" ca="1">SUM( ($G$7:$G$212=$R29) * ($G$6:$G$211=AI$9) )</f>
        <v>0</v>
      </c>
      <c r="AJ29" s="874" cm="1">
        <f t="array" aca="1" ref="AJ29" ca="1">SUM( ($G$7:$G$212=$R29) * ($G$6:$G$211=AJ$9) )</f>
        <v>0</v>
      </c>
      <c r="AK29" s="874" cm="1">
        <f t="array" aca="1" ref="AK29" ca="1">SUM( ($G$7:$G$212=$R29) * ($G$6:$G$211=AK$9) )</f>
        <v>1</v>
      </c>
      <c r="AL29" s="874" cm="1">
        <f t="array" aca="1" ref="AL29" ca="1">SUM( ($G$7:$G$212=$R29) * ($G$6:$G$211=AL$9) )</f>
        <v>0</v>
      </c>
      <c r="AM29" s="874" cm="1">
        <f t="array" aca="1" ref="AM29" ca="1">SUM( ($G$7:$G$212=$R29) * ($G$6:$G$211=AM$9) )</f>
        <v>1</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0">
        <f ca="1"/>
        <v>45932</v>
      </c>
      <c r="C30" s="89" vm="101">
        <f ca="1"/>
        <v>877.6</v>
      </c>
      <c r="D30" s="1225">
        <f t="shared" ca="1" si="0"/>
        <v>4.3023532208224441E-2</v>
      </c>
      <c r="E30" s="294" t="str" cm="1">
        <f t="array" aca="1" ref="E30" ca="1">_xlfn.IFS(D30&gt;ZPercent,"U",D30&lt;=-ZPercent,"D",TRUE,"Z")</f>
        <v>U</v>
      </c>
      <c r="F30" s="294" t="str">
        <f t="shared" ca="1" si="1"/>
        <v>UU</v>
      </c>
      <c r="G30" s="294" t="str">
        <f t="shared" ca="1" si="2"/>
        <v>ZUU</v>
      </c>
      <c r="H30" s="874" t="str">
        <f t="shared" ca="1" si="3"/>
        <v/>
      </c>
      <c r="J30" s="89" vm="102">
        <f ca="1"/>
        <v>45694</v>
      </c>
      <c r="K30" s="89" vm="63">
        <f ca="1"/>
        <v>715.3</v>
      </c>
      <c r="N30" s="874" t="str">
        <f ca="1">IF(F30=[2]Sheet1!O28,"","dif")</f>
        <v>dif</v>
      </c>
      <c r="R30" s="874" t="str">
        <f ca="1"/>
        <v>DZU</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0</v>
      </c>
      <c r="X30" s="874" cm="1">
        <f t="array" aca="1" ref="X30" ca="1">SUM( ($G$7:$G$212=$R30) * ($G$6:$G$211=X$9) )</f>
        <v>1</v>
      </c>
      <c r="Y30" s="874" cm="1">
        <f t="array" aca="1" ref="Y30" ca="1">SUM( ($G$7:$G$212=$R30) * ($G$6:$G$211=Y$9) )</f>
        <v>0</v>
      </c>
      <c r="Z30" s="874" cm="1">
        <f t="array" aca="1" ref="Z30" ca="1">SUM( ($G$7:$G$212=$R30) * ($G$6:$G$211=Z$9) )</f>
        <v>0</v>
      </c>
      <c r="AA30" s="874" cm="1">
        <f t="array" aca="1" ref="AA30" ca="1">SUM( ($G$7:$G$212=$R30) * ($G$6:$G$211=AA$9) )</f>
        <v>0</v>
      </c>
      <c r="AB30" s="874" cm="1">
        <f t="array" aca="1" ref="AB30" ca="1">SUM( ($G$7:$G$212=$R30) * ($G$6:$G$211=AB$9) )</f>
        <v>0</v>
      </c>
      <c r="AC30" s="874" cm="1">
        <f t="array" aca="1" ref="AC30" ca="1">SUM( ($G$7:$G$212=$R30) * ($G$6:$G$211=AC$9) )</f>
        <v>0</v>
      </c>
      <c r="AD30" s="874" cm="1">
        <f t="array" aca="1" ref="AD30" ca="1">SUM( ($G$7:$G$212=$R30) * ($G$6:$G$211=AD$9) )</f>
        <v>3</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0</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3">
        <f ca="1"/>
        <v>45931</v>
      </c>
      <c r="C31" s="89" vm="104">
        <f ca="1"/>
        <v>841.4</v>
      </c>
      <c r="D31" s="1225">
        <f t="shared" ca="1" si="0"/>
        <v>1.6060862214708312E-2</v>
      </c>
      <c r="E31" s="294" t="str" cm="1">
        <f t="array" aca="1" ref="E31" ca="1">_xlfn.IFS(D31&gt;ZPercent,"U",D31&lt;=-ZPercent,"D",TRUE,"Z")</f>
        <v>U</v>
      </c>
      <c r="F31" s="294" t="str">
        <f t="shared" ca="1" si="1"/>
        <v>ZU</v>
      </c>
      <c r="G31" s="294" t="str">
        <f t="shared" ca="1" si="2"/>
        <v>UZU</v>
      </c>
      <c r="H31" s="874" t="str">
        <f t="shared" ca="1" si="3"/>
        <v/>
      </c>
      <c r="J31" s="89" vm="105">
        <f ca="1"/>
        <v>45695</v>
      </c>
      <c r="K31" s="89" vm="106">
        <f ca="1"/>
        <v>703</v>
      </c>
      <c r="N31" s="874" t="str">
        <f ca="1">IF(F31=[2]Sheet1!O29,"","dif")</f>
        <v>dif</v>
      </c>
      <c r="R31" s="874" t="str">
        <f ca="1"/>
        <v>ZDZ</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2</v>
      </c>
      <c r="AL31" s="874" cm="1">
        <f t="array" aca="1" ref="AL31" ca="1">SUM( ($G$7:$G$212=$R31) * ($G$6:$G$211=AL$9) )</f>
        <v>0</v>
      </c>
      <c r="AM31" s="874" cm="1">
        <f t="array" aca="1" ref="AM31" ca="1">SUM( ($G$7:$G$212=$R31) * ($G$6:$G$211=AM$9) )</f>
        <v>2</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7">
        <f ca="1"/>
        <v>45930</v>
      </c>
      <c r="C32" s="89" vm="108">
        <f ca="1"/>
        <v>828.1</v>
      </c>
      <c r="D32" s="1225">
        <f t="shared" ca="1" si="0"/>
        <v>3.1496062992126261E-3</v>
      </c>
      <c r="E32" s="294" t="str" cm="1">
        <f t="array" aca="1" ref="E32" ca="1">_xlfn.IFS(D32&gt;ZPercent,"U",D32&lt;=-ZPercent,"D",TRUE,"Z")</f>
        <v>Z</v>
      </c>
      <c r="F32" s="294" t="str">
        <f t="shared" ca="1" si="1"/>
        <v>UZ</v>
      </c>
      <c r="G32" s="294" t="str">
        <f t="shared" ca="1" si="2"/>
        <v>ZUZ</v>
      </c>
      <c r="H32" s="874" t="str">
        <f t="shared" ca="1" si="3"/>
        <v/>
      </c>
      <c r="J32" s="89" vm="109">
        <f ca="1"/>
        <v>45698</v>
      </c>
      <c r="K32" s="89" vm="110">
        <f ca="1"/>
        <v>717</v>
      </c>
      <c r="N32" s="874" t="str">
        <f ca="1">IF(F32=[2]Sheet1!O30,"","dif")</f>
        <v>dif</v>
      </c>
      <c r="R32" s="874" t="str">
        <f ca="1"/>
        <v>UZD</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4</v>
      </c>
      <c r="AG32" s="874" cm="1">
        <f t="array" aca="1" ref="AG32" ca="1">SUM( ($G$7:$G$212=$R32) * ($G$6:$G$211=AG$9) )</f>
        <v>0</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2</v>
      </c>
      <c r="AO32" s="874" cm="1">
        <f t="array" aca="1" ref="AO32" ca="1">SUM( ($G$7:$G$212=$R32) * ($G$6:$G$211=AO$9) )</f>
        <v>0</v>
      </c>
      <c r="AP32" s="874" cm="1">
        <f t="array" aca="1" ref="AP32" ca="1">SUM( ($G$7:$G$212=$R32) * ($G$6:$G$211=AP$9) )</f>
        <v>3</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1">
        <f ca="1"/>
        <v>45929</v>
      </c>
      <c r="C33" s="89" vm="112">
        <f ca="1"/>
        <v>825.5</v>
      </c>
      <c r="D33" s="1225">
        <f t="shared" ca="1" si="0"/>
        <v>1.5625000000000056E-2</v>
      </c>
      <c r="E33" s="294" t="str" cm="1">
        <f t="array" aca="1" ref="E33" ca="1">_xlfn.IFS(D33&gt;ZPercent,"U",D33&lt;=-ZPercent,"D",TRUE,"Z")</f>
        <v>U</v>
      </c>
      <c r="F33" s="294" t="str">
        <f t="shared" ca="1" si="1"/>
        <v>ZU</v>
      </c>
      <c r="G33" s="294" t="str">
        <f t="shared" ca="1" si="2"/>
        <v>ZZU</v>
      </c>
      <c r="H33" s="874" t="str">
        <f t="shared" ca="1" si="3"/>
        <v/>
      </c>
      <c r="J33" s="89" vm="113">
        <f ca="1"/>
        <v>45699</v>
      </c>
      <c r="K33" s="89" vm="114">
        <f ca="1"/>
        <v>723.6</v>
      </c>
      <c r="N33" s="874" t="str">
        <f ca="1">IF(F33=[2]Sheet1!O31,"","dif")</f>
        <v>dif</v>
      </c>
      <c r="R33" s="874" t="str">
        <f ca="1"/>
        <v>ZDD</v>
      </c>
      <c r="S33" s="874" cm="1">
        <f t="array" aca="1" ref="S33" ca="1">SUM( ($G$7:$G$212=$R33) * ($G$6:$G$211=S$9) )</f>
        <v>3</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0</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5">
        <f ca="1"/>
        <v>45926</v>
      </c>
      <c r="C34" s="89" vm="116">
        <f ca="1"/>
        <v>812.8</v>
      </c>
      <c r="D34" s="1225">
        <f t="shared" ca="1" si="0"/>
        <v>1.3551804854008982E-3</v>
      </c>
      <c r="E34" s="294" t="str" cm="1">
        <f t="array" aca="1" ref="E34" ca="1">_xlfn.IFS(D34&gt;ZPercent,"U",D34&lt;=-ZPercent,"D",TRUE,"Z")</f>
        <v>Z</v>
      </c>
      <c r="F34" s="294" t="str">
        <f t="shared" ca="1" si="1"/>
        <v>ZZ</v>
      </c>
      <c r="G34" s="294" t="str">
        <f t="shared" ca="1" si="2"/>
        <v>DZZ</v>
      </c>
      <c r="H34" s="874" t="str">
        <f t="shared" ca="1" si="3"/>
        <v/>
      </c>
      <c r="J34" s="89" vm="117">
        <f ca="1"/>
        <v>45700</v>
      </c>
      <c r="K34" s="89" vm="118">
        <f ca="1"/>
        <v>718.4</v>
      </c>
      <c r="N34" s="874" t="str">
        <f ca="1">IF(F34=[2]Sheet1!O32,"","dif")</f>
        <v>dif</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19">
        <f ca="1"/>
        <v>45925</v>
      </c>
      <c r="C35" s="89" vm="120">
        <f ca="1"/>
        <v>811.7</v>
      </c>
      <c r="D35" s="1225">
        <f t="shared" ca="1" si="0"/>
        <v>4.5792079207921353E-3</v>
      </c>
      <c r="E35" s="294" t="str" cm="1">
        <f t="array" aca="1" ref="E35" ca="1">_xlfn.IFS(D35&gt;ZPercent,"U",D35&lt;=-ZPercent,"D",TRUE,"Z")</f>
        <v>Z</v>
      </c>
      <c r="F35" s="294" t="str">
        <f t="shared" ca="1" si="1"/>
        <v>DZ</v>
      </c>
      <c r="G35" s="294" t="str">
        <f t="shared" ca="1" si="2"/>
        <v>UDZ</v>
      </c>
      <c r="H35" s="874" t="str">
        <f t="shared" ca="1" si="3"/>
        <v/>
      </c>
      <c r="J35" s="89" vm="121">
        <f ca="1"/>
        <v>45701</v>
      </c>
      <c r="K35" s="89" vm="122">
        <f ca="1"/>
        <v>737.9</v>
      </c>
      <c r="N35" s="874" t="str">
        <f ca="1">IF(F35=[2]Sheet1!O33,"","dif")</f>
        <v>dif</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3">
        <f ca="1"/>
        <v>45924</v>
      </c>
      <c r="C36" s="89" vm="124">
        <f ca="1"/>
        <v>808</v>
      </c>
      <c r="D36" s="1225">
        <f t="shared" ca="1" si="0"/>
        <v>-1.4393754574286356E-2</v>
      </c>
      <c r="E36" s="294" t="str" cm="1">
        <f t="array" aca="1" ref="E36" ca="1">_xlfn.IFS(D36&gt;ZPercent,"U",D36&lt;=-ZPercent,"D",TRUE,"Z")</f>
        <v>D</v>
      </c>
      <c r="F36" s="294" t="str">
        <f t="shared" ca="1" si="1"/>
        <v>UD</v>
      </c>
      <c r="G36" s="294" t="str">
        <f t="shared" ca="1" si="2"/>
        <v>UUD</v>
      </c>
      <c r="H36" s="874" t="str">
        <f t="shared" ca="1" si="3"/>
        <v/>
      </c>
      <c r="J36" s="89" vm="125">
        <f ca="1"/>
        <v>45702</v>
      </c>
      <c r="K36" s="89" vm="126">
        <f ca="1"/>
        <v>732.2</v>
      </c>
      <c r="N36" s="874" t="str">
        <f ca="1">IF(F36=[2]Sheet1!O34,"","dif")</f>
        <v>dif</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0</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7">
        <f ca="1"/>
        <v>45923</v>
      </c>
      <c r="C37" s="89" vm="128">
        <f ca="1"/>
        <v>819.8</v>
      </c>
      <c r="D37" s="1225">
        <f t="shared" ca="1" si="0"/>
        <v>1.110014800197336E-2</v>
      </c>
      <c r="E37" s="294" t="str" cm="1">
        <f t="array" aca="1" ref="E37" ca="1">_xlfn.IFS(D37&gt;ZPercent,"U",D37&lt;=-ZPercent,"D",TRUE,"Z")</f>
        <v>U</v>
      </c>
      <c r="F37" s="294" t="str">
        <f t="shared" ca="1" si="1"/>
        <v>UU</v>
      </c>
      <c r="G37" s="294" t="str">
        <f t="shared" ca="1" si="2"/>
        <v>ZUU</v>
      </c>
      <c r="H37" s="874" t="str">
        <f t="shared" ca="1" si="3"/>
        <v/>
      </c>
      <c r="J37" s="89" vm="129">
        <f ca="1"/>
        <v>45705</v>
      </c>
      <c r="K37" s="89" vm="130">
        <f ca="1"/>
        <v>727.8</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1">
        <f ca="1"/>
        <v>45922</v>
      </c>
      <c r="C38" s="89" vm="132">
        <f ca="1"/>
        <v>810.8</v>
      </c>
      <c r="D38" s="1225">
        <f t="shared" ca="1" si="0"/>
        <v>2.1544664230817575E-2</v>
      </c>
      <c r="E38" s="294" t="str" cm="1">
        <f t="array" aca="1" ref="E38" ca="1">_xlfn.IFS(D38&gt;ZPercent,"U",D38&lt;=-ZPercent,"D",TRUE,"Z")</f>
        <v>U</v>
      </c>
      <c r="F38" s="294" t="str">
        <f t="shared" ca="1" si="1"/>
        <v>ZU</v>
      </c>
      <c r="G38" s="294" t="str">
        <f t="shared" ca="1" si="2"/>
        <v>UZU</v>
      </c>
      <c r="H38" s="874" t="str">
        <f t="shared" ca="1" si="3"/>
        <v/>
      </c>
      <c r="J38" s="89" vm="133">
        <f ca="1"/>
        <v>45706</v>
      </c>
      <c r="K38" s="89" vm="134">
        <f ca="1"/>
        <v>716.2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5">
        <f ca="1"/>
        <v>45919</v>
      </c>
      <c r="C39" s="89" vm="136">
        <f ca="1"/>
        <v>793.7</v>
      </c>
      <c r="D39" s="1225">
        <f t="shared" ca="1" si="0"/>
        <v>-3.7783375314855735E-4</v>
      </c>
      <c r="E39" s="294" t="str" cm="1">
        <f t="array" aca="1" ref="E39" ca="1">_xlfn.IFS(D39&gt;ZPercent,"U",D39&lt;=-ZPercent,"D",TRUE,"Z")</f>
        <v>Z</v>
      </c>
      <c r="F39" s="294" t="str">
        <f t="shared" ca="1" si="1"/>
        <v>UZ</v>
      </c>
      <c r="G39" s="294" t="str">
        <f t="shared" ca="1" si="2"/>
        <v>UUZ</v>
      </c>
      <c r="H39" s="874" t="str">
        <f t="shared" ca="1" si="3"/>
        <v/>
      </c>
      <c r="J39" s="89" vm="137">
        <f ca="1"/>
        <v>45707</v>
      </c>
      <c r="K39" s="89" vm="138">
        <f ca="1"/>
        <v>717.5</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39">
        <f ca="1"/>
        <v>45918</v>
      </c>
      <c r="C40" s="89" vm="140">
        <f ca="1"/>
        <v>794</v>
      </c>
      <c r="D40" s="1225">
        <f t="shared" ca="1" si="0"/>
        <v>7.7340569877883306E-2</v>
      </c>
      <c r="E40" s="294" t="str" cm="1">
        <f t="array" aca="1" ref="E40" ca="1">_xlfn.IFS(D40&gt;ZPercent,"U",D40&lt;=-ZPercent,"D",TRUE,"Z")</f>
        <v>U</v>
      </c>
      <c r="F40" s="294" t="str">
        <f t="shared" ca="1" si="1"/>
        <v>UU</v>
      </c>
      <c r="G40" s="294" t="str">
        <f t="shared" ca="1" si="2"/>
        <v>ZUU</v>
      </c>
      <c r="H40" s="874" t="str">
        <f t="shared" ca="1" si="3"/>
        <v/>
      </c>
      <c r="J40" s="89" vm="141">
        <f ca="1"/>
        <v>45708</v>
      </c>
      <c r="K40" s="89" vm="91">
        <f ca="1"/>
        <v>709.9</v>
      </c>
      <c r="N40" s="874" t="str">
        <f ca="1">IF(F40=[2]Sheet1!O38,"","dif")</f>
        <v>dif</v>
      </c>
    </row>
    <row r="41" spans="2:130" ht="23" thickBot="1" x14ac:dyDescent="0.35">
      <c r="B41" s="89" vm="142">
        <f ca="1"/>
        <v>45917</v>
      </c>
      <c r="C41" s="89" vm="143">
        <f ca="1"/>
        <v>737</v>
      </c>
      <c r="D41" s="1225">
        <f t="shared" ca="1" si="0"/>
        <v>5.5942147632692361E-3</v>
      </c>
      <c r="E41" s="294" t="str" cm="1">
        <f t="array" aca="1" ref="E41" ca="1">_xlfn.IFS(D41&gt;ZPercent,"U",D41&lt;=-ZPercent,"D",TRUE,"Z")</f>
        <v>U</v>
      </c>
      <c r="F41" s="294" t="str">
        <f t="shared" ca="1" si="1"/>
        <v>ZU</v>
      </c>
      <c r="G41" s="294" t="str">
        <f t="shared" ca="1" si="2"/>
        <v>UZU</v>
      </c>
      <c r="H41" s="874" t="str">
        <f t="shared" ca="1" si="3"/>
        <v/>
      </c>
      <c r="J41" s="89" vm="144">
        <f ca="1"/>
        <v>45709</v>
      </c>
      <c r="K41" s="89" vm="145">
        <f ca="1"/>
        <v>710.1</v>
      </c>
      <c r="N41" s="874" t="str">
        <f ca="1">IF(F41=[2]Sheet1!O39,"","dif")</f>
        <v>dif</v>
      </c>
      <c r="Q41" s="926" t="s">
        <v>2664</v>
      </c>
    </row>
    <row r="42" spans="2:130" ht="23" thickBot="1" x14ac:dyDescent="0.35">
      <c r="B42" s="89" vm="146">
        <f ca="1"/>
        <v>45916</v>
      </c>
      <c r="C42" s="89" vm="147">
        <f ca="1"/>
        <v>732.9</v>
      </c>
      <c r="D42" s="1225">
        <f t="shared" ca="1" si="0"/>
        <v>4.7984644913627644E-3</v>
      </c>
      <c r="E42" s="294" t="str" cm="1">
        <f t="array" aca="1" ref="E42" ca="1">_xlfn.IFS(D42&gt;ZPercent,"U",D42&lt;=-ZPercent,"D",TRUE,"Z")</f>
        <v>Z</v>
      </c>
      <c r="F42" s="294" t="str">
        <f t="shared" ca="1" si="1"/>
        <v>UZ</v>
      </c>
      <c r="G42" s="294" t="str">
        <f t="shared" ca="1" si="2"/>
        <v>UUZ</v>
      </c>
      <c r="H42" s="874" t="str">
        <f t="shared" ca="1" si="3"/>
        <v/>
      </c>
      <c r="J42" s="89" vm="148">
        <f ca="1"/>
        <v>45712</v>
      </c>
      <c r="K42" s="89" vm="149">
        <f ca="1"/>
        <v>713.5</v>
      </c>
      <c r="N42" s="874" t="str">
        <f ca="1">IF(F42=[2]Sheet1!O40,"","dif")</f>
        <v>dif</v>
      </c>
      <c r="P42" s="893" t="str">
        <f>J3</f>
        <v>ASML</v>
      </c>
      <c r="Q42" s="893" t="str">
        <f ca="1">LastMark3</f>
        <v>DDD</v>
      </c>
      <c r="R42" s="1213" t="s">
        <v>1669</v>
      </c>
      <c r="S42" s="1214" t="s">
        <v>1670</v>
      </c>
      <c r="CQ42" s="926" t="s">
        <v>2664</v>
      </c>
    </row>
    <row r="43" spans="2:130" ht="23" thickBot="1" x14ac:dyDescent="0.35">
      <c r="B43" s="89" vm="150">
        <f ca="1"/>
        <v>45915</v>
      </c>
      <c r="C43" s="89" vm="151">
        <f ca="1"/>
        <v>729.4</v>
      </c>
      <c r="D43" s="1225">
        <f t="shared" ca="1" si="0"/>
        <v>5.7407944331690379E-2</v>
      </c>
      <c r="E43" s="294" t="str" cm="1">
        <f t="array" aca="1" ref="E43" ca="1">_xlfn.IFS(D43&gt;ZPercent,"U",D43&lt;=-ZPercent,"D",TRUE,"Z")</f>
        <v>U</v>
      </c>
      <c r="F43" s="294" t="str">
        <f t="shared" ca="1" si="1"/>
        <v>UU</v>
      </c>
      <c r="G43" s="294" t="str">
        <f t="shared" ca="1" si="2"/>
        <v>UUU</v>
      </c>
      <c r="H43" s="874" t="str">
        <f t="shared" ca="1" si="3"/>
        <v/>
      </c>
      <c r="J43" s="89" vm="152">
        <f ca="1"/>
        <v>45713</v>
      </c>
      <c r="K43" s="89" vm="153">
        <f ca="1"/>
        <v>697.8</v>
      </c>
      <c r="N43" s="874" t="str">
        <f ca="1">IF(F43=[2]Sheet1!O41,"","dif")</f>
        <v>dif</v>
      </c>
      <c r="P43" s="926" t="s">
        <v>2723</v>
      </c>
      <c r="Q43" s="1307" t="str">
        <f ca="1">RIGHT(Q42,2)&amp;"U"</f>
        <v>DDU</v>
      </c>
      <c r="R43" s="1211">
        <f ca="1">IFERROR(_xlfn.MINIFS(S48:AT75, S48:AT75, "&gt;0", S48:AT75, "&lt;1"), "")</f>
        <v>1.7241379310344827E-2</v>
      </c>
      <c r="S43" s="1212">
        <f ca="1">IFERROR(_xlfn.MAXIFS(S48:AT75, S48:AT75, "&gt;0", S48:AT75, "&lt;1"), "")</f>
        <v>0.54545454545454541</v>
      </c>
      <c r="CP43" s="893" t="str">
        <f>B2</f>
        <v>ASML</v>
      </c>
      <c r="CQ43" s="893" t="str">
        <f ca="1">LastMark3</f>
        <v>DDD</v>
      </c>
      <c r="CR43" s="1213" t="s">
        <v>1669</v>
      </c>
      <c r="CS43" s="1214" t="s">
        <v>1670</v>
      </c>
    </row>
    <row r="44" spans="2:130" ht="23" thickBot="1" x14ac:dyDescent="0.35">
      <c r="B44" s="89" vm="154">
        <f ca="1"/>
        <v>45912</v>
      </c>
      <c r="C44" s="89" vm="155">
        <f ca="1"/>
        <v>689.8</v>
      </c>
      <c r="D44" s="1225">
        <f t="shared" ca="1" si="0"/>
        <v>5.5393586005830237E-3</v>
      </c>
      <c r="E44" s="294" t="str" cm="1">
        <f t="array" aca="1" ref="E44" ca="1">_xlfn.IFS(D44&gt;ZPercent,"U",D44&lt;=-ZPercent,"D",TRUE,"Z")</f>
        <v>U</v>
      </c>
      <c r="F44" s="294" t="str">
        <f t="shared" ca="1" si="1"/>
        <v>UU</v>
      </c>
      <c r="G44" s="294" t="str">
        <f t="shared" ca="1" si="2"/>
        <v>ZUU</v>
      </c>
      <c r="H44" s="874" t="str">
        <f t="shared" ca="1" si="3"/>
        <v/>
      </c>
      <c r="J44" s="89" vm="156">
        <f ca="1"/>
        <v>45714</v>
      </c>
      <c r="K44" s="89" vm="157">
        <f ca="1"/>
        <v>714.5</v>
      </c>
      <c r="N44" s="874" t="str">
        <f ca="1">IF(F44=[2]Sheet1!O42,"","dif")</f>
        <v>dif</v>
      </c>
      <c r="O44" s="1216"/>
      <c r="P44" s="1306" t="str">
        <f ca="1">IF(UpPercent=0,"No "&amp;RIGHT(NewMark,2)&amp;"U","Up")</f>
        <v>Up</v>
      </c>
      <c r="Q44" s="1313">
        <f ca="1">MAX(P48:P74)</f>
        <v>0.54545454545454541</v>
      </c>
      <c r="CP44" s="926" t="s">
        <v>2723</v>
      </c>
      <c r="CQ44" s="1307" t="str">
        <f ca="1">RIGHT(CQ43,2)&amp;"U"</f>
        <v>DDU</v>
      </c>
      <c r="CR44" s="1211">
        <f ca="1">IFERROR(_xlfn.MINIFS(CS48:DT75, CS48:DT75, "&gt;0", CS48:DT75, "&lt;1"), "")</f>
        <v>1.5384615384615385E-2</v>
      </c>
      <c r="CS44" s="1212">
        <f ca="1">IFERROR(_xlfn.MAXIFS(CS48:DT75, CS48:DT75, "&gt;0", CS48:DT75, "&lt;1"), "")</f>
        <v>3.7037037037037035E-2</v>
      </c>
    </row>
    <row r="45" spans="2:130" ht="24" thickTop="1" thickBot="1" x14ac:dyDescent="0.35">
      <c r="B45" s="89" vm="158">
        <f ca="1"/>
        <v>45911</v>
      </c>
      <c r="C45" s="89" vm="159">
        <f ca="1"/>
        <v>686</v>
      </c>
      <c r="D45" s="1225">
        <f t="shared" ca="1" si="0"/>
        <v>8.5269038518082235E-3</v>
      </c>
      <c r="E45" s="294" t="str" cm="1">
        <f t="array" aca="1" ref="E45" ca="1">_xlfn.IFS(D45&gt;ZPercent,"U",D45&lt;=-ZPercent,"D",TRUE,"Z")</f>
        <v>U</v>
      </c>
      <c r="F45" s="294" t="str">
        <f t="shared" ca="1" si="1"/>
        <v>ZU</v>
      </c>
      <c r="G45" s="294" t="str">
        <f t="shared" ca="1" si="2"/>
        <v>UZU</v>
      </c>
      <c r="H45" s="874" t="str">
        <f t="shared" ca="1" si="3"/>
        <v/>
      </c>
      <c r="J45" s="89" vm="160">
        <f ca="1"/>
        <v>45715</v>
      </c>
      <c r="K45" s="89" vm="161">
        <f ca="1"/>
        <v>699.1</v>
      </c>
      <c r="N45" s="874" t="str">
        <f ca="1">IF(F45=[2]Sheet1!O43,"","dif")</f>
        <v>dif</v>
      </c>
      <c r="O45" s="1216"/>
      <c r="CP45" s="1306" t="str">
        <f ca="1">IF(CQ45=0,"No "&amp;RIGHT(CQ43,2)&amp;"U","Up")</f>
        <v>No DDU</v>
      </c>
      <c r="CQ45" s="1313">
        <f ca="1">MAX(CP48:CP74)</f>
        <v>0</v>
      </c>
    </row>
    <row r="46" spans="2:130" ht="24" thickTop="1" thickBot="1" x14ac:dyDescent="0.35">
      <c r="B46" s="89" vm="162">
        <f ca="1"/>
        <v>45910</v>
      </c>
      <c r="C46" s="89" vm="163">
        <f ca="1"/>
        <v>680.2</v>
      </c>
      <c r="D46" s="1225">
        <f t="shared" ca="1" si="0"/>
        <v>-4.3911007025761121E-3</v>
      </c>
      <c r="E46" s="294" t="str" cm="1">
        <f t="array" aca="1" ref="E46" ca="1">_xlfn.IFS(D46&gt;ZPercent,"U",D46&lt;=-ZPercent,"D",TRUE,"Z")</f>
        <v>Z</v>
      </c>
      <c r="F46" s="294" t="str">
        <f t="shared" ca="1" si="1"/>
        <v>UZ</v>
      </c>
      <c r="G46" s="294" t="str">
        <f t="shared" ca="1" si="2"/>
        <v>UUZ</v>
      </c>
      <c r="H46" s="874" t="str">
        <f t="shared" ca="1" si="3"/>
        <v/>
      </c>
      <c r="J46" s="89" vm="164">
        <f ca="1"/>
        <v>45716</v>
      </c>
      <c r="K46" s="89" vm="165">
        <f ca="1"/>
        <v>678.6</v>
      </c>
      <c r="N46" s="874" t="str">
        <f ca="1">IF(F46=[2]Sheet1!O44,"","dif")</f>
        <v>dif</v>
      </c>
      <c r="O46" s="1216"/>
    </row>
    <row r="47" spans="2:130" ht="23" thickBot="1" x14ac:dyDescent="0.35">
      <c r="B47" s="89" vm="166">
        <f ca="1"/>
        <v>45909</v>
      </c>
      <c r="C47" s="89" vm="167">
        <f ca="1"/>
        <v>683.2</v>
      </c>
      <c r="D47" s="1225">
        <f t="shared" ca="1" si="0"/>
        <v>9.7546556310966932E-3</v>
      </c>
      <c r="E47" s="294" t="str" cm="1">
        <f t="array" aca="1" ref="E47" ca="1">_xlfn.IFS(D47&gt;ZPercent,"U",D47&lt;=-ZPercent,"D",TRUE,"Z")</f>
        <v>U</v>
      </c>
      <c r="F47" s="294" t="str">
        <f t="shared" ca="1" si="1"/>
        <v>UU</v>
      </c>
      <c r="G47" s="294" t="str">
        <f t="shared" ca="1" si="2"/>
        <v>UUU</v>
      </c>
      <c r="H47" s="874" t="str">
        <f t="shared" ca="1" si="3"/>
        <v/>
      </c>
      <c r="J47" s="89" vm="168">
        <f ca="1"/>
        <v>45719</v>
      </c>
      <c r="K47" s="89" vm="169">
        <f ca="1"/>
        <v>690.3</v>
      </c>
      <c r="N47" s="874" t="str">
        <f ca="1">IF(F47=[2]Sheet1!O45,"","dif")</f>
        <v>dif</v>
      </c>
      <c r="O47" s="1216"/>
      <c r="Q47" s="1320">
        <f ca="1">SUM(Q48:Q75)</f>
        <v>995</v>
      </c>
      <c r="R47" s="1317">
        <f ca="1">ROWS(_xlfn.UNIQUE(G5:G157))</f>
        <v>24</v>
      </c>
      <c r="S47" s="1252" t="str">
        <f t="shared" ref="S47:AR47" ca="1" si="4">S9</f>
        <v>DDD</v>
      </c>
      <c r="T47" s="1232" t="str">
        <f t="shared" ca="1" si="4"/>
        <v>UDD</v>
      </c>
      <c r="U47" s="1232" t="str">
        <f t="shared" ca="1" si="4"/>
        <v>DUD</v>
      </c>
      <c r="V47" s="1232" t="str">
        <f t="shared" ca="1" si="4"/>
        <v>UDU</v>
      </c>
      <c r="W47" s="1232" t="str">
        <f t="shared" ca="1" si="4"/>
        <v>UUD</v>
      </c>
      <c r="X47" s="1232" t="str">
        <f t="shared" ca="1" si="4"/>
        <v>ZUU</v>
      </c>
      <c r="Y47" s="1232" t="str">
        <f t="shared" ca="1" si="4"/>
        <v>UZU</v>
      </c>
      <c r="Z47" s="1232" t="str">
        <f t="shared" ca="1" si="4"/>
        <v>UUZ</v>
      </c>
      <c r="AA47" s="1232" t="str">
        <f t="shared" ca="1" si="4"/>
        <v>UUU</v>
      </c>
      <c r="AB47" s="1232" t="str">
        <f t="shared" ca="1" si="4"/>
        <v>DUU</v>
      </c>
      <c r="AC47" s="1232" t="str">
        <f t="shared" ca="1" si="4"/>
        <v>DDU</v>
      </c>
      <c r="AD47" s="1232" t="str">
        <f t="shared" ca="1" si="4"/>
        <v>ZUD</v>
      </c>
      <c r="AE47" s="1232" t="str">
        <f t="shared" ca="1" si="4"/>
        <v>DUZ</v>
      </c>
      <c r="AF47" s="1232" t="str">
        <f t="shared" ca="1" si="4"/>
        <v>ZDU</v>
      </c>
      <c r="AG47" s="1232" t="str">
        <f t="shared" ca="1" si="4"/>
        <v>DZD</v>
      </c>
      <c r="AH47" s="1232" t="str">
        <f t="shared" ca="1" si="4"/>
        <v>DDZ</v>
      </c>
      <c r="AI47" s="1232" t="str">
        <f t="shared" ca="1" si="4"/>
        <v>ZUZ</v>
      </c>
      <c r="AJ47" s="1232" t="str">
        <f t="shared" ca="1" si="4"/>
        <v>ZZU</v>
      </c>
      <c r="AK47" s="1232" t="str">
        <f t="shared" ca="1" si="4"/>
        <v>DZZ</v>
      </c>
      <c r="AL47" s="1232" t="str">
        <f t="shared" ca="1" si="4"/>
        <v>UDZ</v>
      </c>
      <c r="AM47" s="1232" t="str">
        <f t="shared" ca="1" si="4"/>
        <v>DZU</v>
      </c>
      <c r="AN47" s="1232" t="str">
        <f t="shared" ca="1" si="4"/>
        <v>ZDZ</v>
      </c>
      <c r="AO47" s="1232" t="str">
        <f t="shared" ca="1" si="4"/>
        <v>UZD</v>
      </c>
      <c r="AP47" s="1232" t="str">
        <f t="shared" ca="1" si="4"/>
        <v>ZDD</v>
      </c>
      <c r="AQ47" s="1232">
        <f t="shared" ca="1" si="4"/>
        <v>0</v>
      </c>
      <c r="AR47" s="1232">
        <f t="shared" ca="1" si="4"/>
        <v>0</v>
      </c>
      <c r="AS47" s="1232"/>
      <c r="AT47" s="1232"/>
      <c r="AU47" s="1232"/>
      <c r="AV47" s="1232"/>
      <c r="AW47" s="1232"/>
      <c r="AX47" s="1232"/>
      <c r="CP47" s="1323" t="s">
        <v>2726</v>
      </c>
      <c r="CQ47" s="1215">
        <f ca="1">SUM(CQ48:CQ75)</f>
        <v>75</v>
      </c>
      <c r="CR47" s="1170">
        <f ca="1">ROWS(_xlfn.UNIQUE(AH9:AH153))</f>
        <v>13</v>
      </c>
      <c r="CS47" s="1232" t="str">
        <f ca="1">CS9</f>
        <v>DDD</v>
      </c>
      <c r="CT47" s="1232" t="str">
        <f t="shared" ref="CT47:DZ47" ca="1" si="5">CT9</f>
        <v>UDD</v>
      </c>
      <c r="CU47" s="1232" t="str">
        <f t="shared" ca="1" si="5"/>
        <v>DUD</v>
      </c>
      <c r="CV47" s="1232" t="str">
        <f t="shared" ca="1" si="5"/>
        <v>UDU</v>
      </c>
      <c r="CW47" s="1232" t="str">
        <f t="shared" ca="1" si="5"/>
        <v>UUD</v>
      </c>
      <c r="CX47" s="1232" t="str">
        <f t="shared" ca="1" si="5"/>
        <v>ZUU</v>
      </c>
      <c r="CY47" s="1232" t="str">
        <f t="shared" ca="1" si="5"/>
        <v>UZU</v>
      </c>
      <c r="CZ47" s="1232" t="str">
        <f t="shared" ca="1" si="5"/>
        <v>UUZ</v>
      </c>
      <c r="DA47" s="1232" t="str">
        <f t="shared" ca="1" si="5"/>
        <v>UUU</v>
      </c>
      <c r="DB47" s="1232" t="str">
        <f t="shared" ca="1" si="5"/>
        <v>DUU</v>
      </c>
      <c r="DC47" s="1232" t="str">
        <f t="shared" ca="1" si="5"/>
        <v>DDU</v>
      </c>
      <c r="DD47" s="1232" t="str">
        <f t="shared" ca="1" si="5"/>
        <v>ZUD</v>
      </c>
      <c r="DE47" s="1232" t="str">
        <f t="shared" ca="1" si="5"/>
        <v>DUZ</v>
      </c>
      <c r="DF47" s="1232" t="str">
        <f t="shared" ca="1" si="5"/>
        <v>ZDU</v>
      </c>
      <c r="DG47" s="1232" t="str">
        <f t="shared" ca="1" si="5"/>
        <v>DZD</v>
      </c>
      <c r="DH47" s="1232" t="str">
        <f t="shared" ca="1" si="5"/>
        <v>DDZ</v>
      </c>
      <c r="DI47" s="1232" t="str">
        <f t="shared" ca="1" si="5"/>
        <v>ZUZ</v>
      </c>
      <c r="DJ47" s="1232" t="str">
        <f t="shared" ca="1" si="5"/>
        <v>ZZU</v>
      </c>
      <c r="DK47" s="1232" t="str">
        <f t="shared" ca="1" si="5"/>
        <v>DZZ</v>
      </c>
      <c r="DL47" s="1232" t="str">
        <f t="shared" ca="1" si="5"/>
        <v>UDZ</v>
      </c>
      <c r="DM47" s="1232" t="str">
        <f t="shared" ca="1" si="5"/>
        <v>DZU</v>
      </c>
      <c r="DN47" s="1232" t="str">
        <f t="shared" ca="1" si="5"/>
        <v>ZDZ</v>
      </c>
      <c r="DO47" s="1232" t="str">
        <f t="shared" ca="1" si="5"/>
        <v>UZD</v>
      </c>
      <c r="DP47" s="1232" t="str">
        <f t="shared" ca="1" si="5"/>
        <v>ZDD</v>
      </c>
      <c r="DQ47" s="1232">
        <f t="shared" ca="1" si="5"/>
        <v>0</v>
      </c>
      <c r="DR47" s="1232">
        <f t="shared" ca="1" si="5"/>
        <v>0</v>
      </c>
      <c r="DS47" s="1232">
        <f t="shared" ca="1" si="5"/>
        <v>0</v>
      </c>
      <c r="DT47" s="1232">
        <f t="shared" ca="1" si="5"/>
        <v>0</v>
      </c>
      <c r="DU47" s="1232">
        <f t="shared" ca="1" si="5"/>
        <v>0</v>
      </c>
      <c r="DV47" s="1232">
        <f t="shared" ca="1" si="5"/>
        <v>0</v>
      </c>
      <c r="DW47" s="1232">
        <f t="shared" ca="1" si="5"/>
        <v>0</v>
      </c>
      <c r="DX47" s="1232">
        <f t="shared" ca="1" si="5"/>
        <v>0</v>
      </c>
      <c r="DY47" s="1232" t="str">
        <f t="shared" ca="1" si="5"/>
        <v>Min</v>
      </c>
      <c r="DZ47" s="1458">
        <f t="shared" ca="1" si="5"/>
        <v>1.7241379310344827E-2</v>
      </c>
    </row>
    <row r="48" spans="2:130" ht="23" thickTop="1" x14ac:dyDescent="0.3">
      <c r="B48" s="89" vm="170">
        <f ca="1"/>
        <v>45908</v>
      </c>
      <c r="C48" s="89" vm="171">
        <f ca="1"/>
        <v>676.6</v>
      </c>
      <c r="D48" s="1225">
        <f t="shared" ca="1" si="0"/>
        <v>2.4840957285670973E-2</v>
      </c>
      <c r="E48" s="294" t="str" cm="1">
        <f t="array" aca="1" ref="E48" ca="1">_xlfn.IFS(D48&gt;ZPercent,"U",D48&lt;=-ZPercent,"D",TRUE,"Z")</f>
        <v>U</v>
      </c>
      <c r="F48" s="294" t="str">
        <f t="shared" ca="1" si="1"/>
        <v>UU</v>
      </c>
      <c r="G48" s="294" t="str">
        <f t="shared" ca="1" si="2"/>
        <v>UUU</v>
      </c>
      <c r="H48" s="874" t="str">
        <f t="shared" ca="1" si="3"/>
        <v/>
      </c>
      <c r="J48" s="89" vm="172">
        <f ca="1"/>
        <v>45720</v>
      </c>
      <c r="K48" s="89" vm="173">
        <f ca="1"/>
        <v>660.5</v>
      </c>
      <c r="N48" s="874" t="str">
        <f ca="1">IF(F48=[2]Sheet1!O46,"","dif")</f>
        <v>dif</v>
      </c>
      <c r="O48" s="1216"/>
      <c r="P48" s="1208" cm="1">
        <f t="array" aca="1" ref="P48" ca="1">IFERROR(INDEX($S48:$AT48,
       MATCH(TRUE,
             (($R48=Q42)*
              (RIGHT($S$47:$AT$47,3)=NewMUP)*
              ($S48:$AT48&gt;0))&gt;0,
       0)),0)</f>
        <v>0.54545454545454541</v>
      </c>
      <c r="Q48" s="1305">
        <f ca="1">SUM(S10:INDEX(6:6, COLUMN($S10) +$R$47 - 1))</f>
        <v>11</v>
      </c>
      <c r="R48" s="1248" t="str">
        <f t="shared" ref="R48:R73" ca="1" si="6">R10</f>
        <v>DDD</v>
      </c>
      <c r="S48" s="1240">
        <f t="shared" ref="S48:AS48" ca="1" si="7">IF(S10=0,0,S10/$Q48)</f>
        <v>0.27272727272727271</v>
      </c>
      <c r="T48" s="1226">
        <f t="shared" ca="1" si="7"/>
        <v>0</v>
      </c>
      <c r="U48" s="1226">
        <f t="shared" ca="1" si="7"/>
        <v>0</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0.54545454545454541</v>
      </c>
      <c r="AD48" s="1226">
        <f t="shared" ca="1" si="7"/>
        <v>0</v>
      </c>
      <c r="AE48" s="1226">
        <f t="shared" ca="1" si="7"/>
        <v>0</v>
      </c>
      <c r="AF48" s="1226">
        <f t="shared" ca="1" si="7"/>
        <v>0</v>
      </c>
      <c r="AG48" s="1226">
        <f t="shared" ca="1" si="7"/>
        <v>0</v>
      </c>
      <c r="AH48" s="1226">
        <f t="shared" ca="1" si="7"/>
        <v>0.18181818181818182</v>
      </c>
      <c r="AI48" s="1226">
        <f t="shared" ca="1" si="7"/>
        <v>0</v>
      </c>
      <c r="AJ48" s="1226">
        <f t="shared" ca="1" si="7"/>
        <v>0</v>
      </c>
      <c r="AK48" s="1226">
        <f t="shared" ca="1" si="7"/>
        <v>0</v>
      </c>
      <c r="AL48" s="1226">
        <f t="shared" ca="1" si="7"/>
        <v>0</v>
      </c>
      <c r="AM48" s="1226">
        <f t="shared" ca="1" si="7"/>
        <v>0</v>
      </c>
      <c r="AN48" s="1226">
        <f t="shared" ca="1" si="7"/>
        <v>0</v>
      </c>
      <c r="AO48" s="1226">
        <f t="shared" ca="1" si="7"/>
        <v>0</v>
      </c>
      <c r="AP48" s="1226">
        <f t="shared" ca="1" si="7"/>
        <v>0</v>
      </c>
      <c r="AQ48" s="1226">
        <f t="shared" ca="1" si="7"/>
        <v>0</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0</v>
      </c>
      <c r="CR48" s="1217" t="str">
        <f t="shared" ref="CR48:CR64" ca="1" si="8">CR10</f>
        <v>DDD</v>
      </c>
      <c r="CS48" s="1243">
        <f ca="1">IF(CS10=0,0,CS10/$Q48)</f>
        <v>0</v>
      </c>
      <c r="CT48" s="1243">
        <f ca="1">IF(CT10=0,0,CT10/$Q48)</f>
        <v>0</v>
      </c>
      <c r="CU48" s="1243">
        <f ca="1">IF(CU10=0,0,CU10/$Q48)</f>
        <v>0</v>
      </c>
      <c r="CV48" s="1243">
        <f ca="1">IF(CV10=0,0,CV10/$Q48)</f>
        <v>0</v>
      </c>
      <c r="CW48" s="1243">
        <f ca="1">IF(CW10=0,0,CW10/$Q48)</f>
        <v>0</v>
      </c>
      <c r="CX48" s="1243">
        <f ca="1">IF(CX10=0,0,CX10/$Q48)</f>
        <v>0</v>
      </c>
      <c r="CY48" s="1243">
        <f ca="1">IF(CY10=0,0,CY10/$Q48)</f>
        <v>0</v>
      </c>
      <c r="CZ48" s="1243">
        <f ca="1">IF(CZ10=0,0,CZ10/$Q48)</f>
        <v>0</v>
      </c>
      <c r="DA48" s="1243">
        <f ca="1">IF(DA10=0,0,DA10/$Q48)</f>
        <v>0</v>
      </c>
      <c r="DB48" s="1243">
        <f ca="1">IF(DB10=0,0,DB10/$Q48)</f>
        <v>0</v>
      </c>
      <c r="DC48" s="1243">
        <f ca="1">IF(DC10=0,0,DC10/$Q48)</f>
        <v>0</v>
      </c>
      <c r="DD48" s="1243">
        <f ca="1">IF(DD10=0,0,DD10/$Q48)</f>
        <v>0</v>
      </c>
      <c r="DE48" s="1243">
        <f ca="1">IF(DE10=0,0,DE10/$Q48)</f>
        <v>0</v>
      </c>
      <c r="DF48" s="1243">
        <f ca="1">IF(DF10=0,0,DF10/$Q48)</f>
        <v>0</v>
      </c>
      <c r="DG48" s="1243">
        <f ca="1">IF(DG10=0,0,DG10/$Q48)</f>
        <v>0</v>
      </c>
      <c r="DH48" s="1243">
        <f ca="1">IF(DH10=0,0,DH10/$Q48)</f>
        <v>0</v>
      </c>
      <c r="DI48" s="1243">
        <f ca="1">IF(DI10=0,0,DI10/$Q48)</f>
        <v>0</v>
      </c>
      <c r="DJ48" s="1243">
        <f ca="1">IF(DJ10=0,0,DJ10/$Q48)</f>
        <v>0</v>
      </c>
      <c r="DK48" s="1243">
        <f ca="1">IF(DK10=0,0,DK10/$Q48)</f>
        <v>0</v>
      </c>
      <c r="DL48" s="1243">
        <f ca="1">IF(DL10=0,0,DL10/$Q48)</f>
        <v>0</v>
      </c>
      <c r="DM48" s="1243">
        <f ca="1">IF(DM10=0,0,DM10/$Q48)</f>
        <v>0</v>
      </c>
      <c r="DN48" s="1243">
        <f ca="1">IF(DN10=0,0,DN10/$Q48)</f>
        <v>0</v>
      </c>
      <c r="DO48" s="1243">
        <f ca="1">IF(DO10=0,0,DO10/$Q48)</f>
        <v>0</v>
      </c>
      <c r="DP48" s="1243">
        <f>IF(DP10=0,0,DP10/$Q48)</f>
        <v>0</v>
      </c>
      <c r="DQ48" s="1243">
        <f>IF(DQ10=0,0,DQ10/$Q48)</f>
        <v>0</v>
      </c>
      <c r="DR48" s="1243">
        <f>IF(DR10=0,0,DR10/$Q48)</f>
        <v>0</v>
      </c>
      <c r="DS48" s="1243">
        <f>IF(DS10=0,0,DS10/$Q48)</f>
        <v>0</v>
      </c>
      <c r="DT48" s="1243">
        <f>IF(DT10=0,0,DT10/$Q48)</f>
        <v>0</v>
      </c>
      <c r="DU48" s="1243">
        <f>IF(DU10=0,0,DU10/$Q48)</f>
        <v>0</v>
      </c>
      <c r="DV48" s="1243">
        <f>IF(DV10=0,0,DV10/$Q48)</f>
        <v>0</v>
      </c>
      <c r="DW48" s="1243">
        <f>IF(DW10=0,0,DW10/$Q48)</f>
        <v>0</v>
      </c>
      <c r="DX48" s="1226"/>
    </row>
    <row r="49" spans="2:128" x14ac:dyDescent="0.3">
      <c r="B49" s="89" vm="174">
        <f ca="1"/>
        <v>45905</v>
      </c>
      <c r="C49" s="89" vm="175">
        <f ca="1"/>
        <v>660.2</v>
      </c>
      <c r="D49" s="1225">
        <f t="shared" ca="1" si="0"/>
        <v>1.9456454601605964E-2</v>
      </c>
      <c r="E49" s="294" t="str" cm="1">
        <f t="array" aca="1" ref="E49" ca="1">_xlfn.IFS(D49&gt;ZPercent,"U",D49&lt;=-ZPercent,"D",TRUE,"Z")</f>
        <v>U</v>
      </c>
      <c r="F49" s="294" t="str">
        <f t="shared" ca="1" si="1"/>
        <v>UU</v>
      </c>
      <c r="G49" s="294" t="str">
        <f t="shared" ca="1" si="2"/>
        <v>UUU</v>
      </c>
      <c r="H49" s="874" t="str">
        <f t="shared" ca="1" si="3"/>
        <v/>
      </c>
      <c r="J49" s="89" vm="176">
        <f ca="1"/>
        <v>45721</v>
      </c>
      <c r="K49" s="89" vm="177">
        <f ca="1"/>
        <v>672.7</v>
      </c>
      <c r="N49" s="874" t="str">
        <f ca="1">IF(F49=[2]Sheet1!O47,"","dif")</f>
        <v>dif</v>
      </c>
      <c r="O49" s="1216"/>
      <c r="P49" s="1208" cm="1">
        <f t="array" aca="1" ref="P49" ca="1">IFERROR(INDEX($S49:$AT49,
       MATCH(TRUE,
             (($R49=R42)*
              (RIGHT($S$47:$AT$47,3)=NewMUP)*
              ($S49:$AT49&gt;0))&gt;0,
       0)),0)</f>
        <v>0</v>
      </c>
      <c r="Q49" s="1305">
        <f ca="1">SUM(S11:INDEX(7:7, COLUMN($S11) +$R$47 - 1))</f>
        <v>27</v>
      </c>
      <c r="R49" s="1249" t="str">
        <f t="shared" ca="1" si="6"/>
        <v>UDD</v>
      </c>
      <c r="S49" s="1242">
        <f t="shared" ref="S49:AS49" ca="1" si="9">IF(S11=0,0,S11/$Q49)</f>
        <v>0.18518518518518517</v>
      </c>
      <c r="T49" s="1243">
        <f t="shared" ca="1" si="9"/>
        <v>0</v>
      </c>
      <c r="U49" s="1243">
        <f t="shared" ca="1" si="9"/>
        <v>0</v>
      </c>
      <c r="V49" s="1243">
        <f t="shared" ca="1" si="9"/>
        <v>0</v>
      </c>
      <c r="W49" s="1243">
        <f t="shared" ca="1" si="9"/>
        <v>0</v>
      </c>
      <c r="X49" s="1243">
        <f t="shared" ca="1" si="9"/>
        <v>0</v>
      </c>
      <c r="Y49" s="1243">
        <f t="shared" ca="1" si="9"/>
        <v>0</v>
      </c>
      <c r="Z49" s="1243">
        <f t="shared" ca="1" si="9"/>
        <v>0</v>
      </c>
      <c r="AA49" s="1243">
        <f t="shared" ca="1" si="9"/>
        <v>0</v>
      </c>
      <c r="AB49" s="1243">
        <f t="shared" ca="1" si="9"/>
        <v>0</v>
      </c>
      <c r="AC49" s="1243">
        <f t="shared" ca="1" si="9"/>
        <v>0.33333333333333331</v>
      </c>
      <c r="AD49" s="1243">
        <f t="shared" ca="1" si="9"/>
        <v>0</v>
      </c>
      <c r="AE49" s="1243">
        <f t="shared" ca="1" si="9"/>
        <v>0</v>
      </c>
      <c r="AF49" s="1243">
        <f t="shared" ca="1" si="9"/>
        <v>0</v>
      </c>
      <c r="AG49" s="1243">
        <f t="shared" ca="1" si="9"/>
        <v>0</v>
      </c>
      <c r="AH49" s="1243">
        <f t="shared" ca="1" si="9"/>
        <v>7.407407407407407E-2</v>
      </c>
      <c r="AI49" s="1243">
        <f t="shared" ca="1" si="9"/>
        <v>0</v>
      </c>
      <c r="AJ49" s="1243">
        <f t="shared" ca="1" si="9"/>
        <v>0</v>
      </c>
      <c r="AK49" s="1243">
        <f t="shared" ca="1" si="9"/>
        <v>0</v>
      </c>
      <c r="AL49" s="1243">
        <f t="shared" ca="1" si="9"/>
        <v>0</v>
      </c>
      <c r="AM49" s="1243">
        <f t="shared" ca="1" si="9"/>
        <v>0</v>
      </c>
      <c r="AN49" s="1243">
        <f t="shared" ca="1" si="9"/>
        <v>0</v>
      </c>
      <c r="AO49" s="1243">
        <f t="shared" ca="1" si="9"/>
        <v>0</v>
      </c>
      <c r="AP49" s="1243">
        <f t="shared" ca="1" si="9"/>
        <v>0</v>
      </c>
      <c r="AQ49" s="1243">
        <f t="shared" ca="1" si="9"/>
        <v>0</v>
      </c>
      <c r="AR49" s="1243">
        <f t="shared" ca="1" si="9"/>
        <v>0</v>
      </c>
      <c r="AS49" s="1243">
        <f t="shared" ca="1" si="9"/>
        <v>0</v>
      </c>
      <c r="AT49" s="1243">
        <f t="shared" ref="AT49:AT73" ca="1" si="10">IF(AT11=0,0,AT11/$Q49)</f>
        <v>0</v>
      </c>
      <c r="AU49" s="1243"/>
      <c r="AV49" s="1243"/>
      <c r="AW49" s="1243"/>
      <c r="AX49" s="1243"/>
      <c r="AZ49" s="1243"/>
      <c r="CP49" s="1208" cm="1">
        <f t="array" aca="1" ref="CP49" ca="1">IFERROR(INDEX($CR49:$DU49,
       MATCH(TRUE,
             (($CR49=CQ$43)*
              (RIGHT($CS$47:$DU$47,3)=NewMUP)*
              ($CR49:$DU49&gt;0))&gt;0,
       0)),0)</f>
        <v>0</v>
      </c>
      <c r="CQ49" s="1305">
        <f ca="1">SUM(CS11:INDEX(7:7, COLUMN($CS11) +$CR$47 - 1))</f>
        <v>1</v>
      </c>
      <c r="CR49" s="1217" t="str">
        <f t="shared" ca="1" si="8"/>
        <v>UDD</v>
      </c>
      <c r="CS49" s="1243">
        <f ca="1">IF(CS11=0,0,CS11/$Q49)</f>
        <v>0</v>
      </c>
      <c r="CT49" s="1243">
        <f ca="1">IF(CT11=0,0,CT11/$Q49)</f>
        <v>0</v>
      </c>
      <c r="CU49" s="1243">
        <f ca="1">IF(CU11=0,0,CU11/$Q49)</f>
        <v>0</v>
      </c>
      <c r="CV49" s="1243">
        <f ca="1">IF(CV11=0,0,CV11/$Q49)</f>
        <v>0</v>
      </c>
      <c r="CW49" s="1243">
        <f ca="1">IF(CW11=0,0,CW11/$Q49)</f>
        <v>0</v>
      </c>
      <c r="CX49" s="1243">
        <f ca="1">IF(CX11=0,0,CX11/$Q49)</f>
        <v>0</v>
      </c>
      <c r="CY49" s="1243">
        <f ca="1">IF(CY11=0,0,CY11/$Q49)</f>
        <v>0</v>
      </c>
      <c r="CZ49" s="1243">
        <f ca="1">IF(CZ11=0,0,CZ11/$Q49)</f>
        <v>0</v>
      </c>
      <c r="DA49" s="1243">
        <f ca="1">IF(DA11=0,0,DA11/$Q49)</f>
        <v>0</v>
      </c>
      <c r="DB49" s="1243">
        <f ca="1">IF(DB11=0,0,DB11/$Q49)</f>
        <v>0</v>
      </c>
      <c r="DC49" s="1243">
        <f ca="1">IF(DC11=0,0,DC11/$Q49)</f>
        <v>3.7037037037037035E-2</v>
      </c>
      <c r="DD49" s="1243">
        <f ca="1">IF(DD11=0,0,DD11/$Q49)</f>
        <v>0</v>
      </c>
      <c r="DE49" s="1243">
        <f ca="1">IF(DE11=0,0,DE11/$Q49)</f>
        <v>0</v>
      </c>
      <c r="DF49" s="1243">
        <f ca="1">IF(DF11=0,0,DF11/$Q49)</f>
        <v>0</v>
      </c>
      <c r="DG49" s="1243">
        <f ca="1">IF(DG11=0,0,DG11/$Q49)</f>
        <v>0</v>
      </c>
      <c r="DH49" s="1243">
        <f ca="1">IF(DH11=0,0,DH11/$Q49)</f>
        <v>0</v>
      </c>
      <c r="DI49" s="1243">
        <f ca="1">IF(DI11=0,0,DI11/$Q49)</f>
        <v>0</v>
      </c>
      <c r="DJ49" s="1243">
        <f ca="1">IF(DJ11=0,0,DJ11/$Q49)</f>
        <v>0</v>
      </c>
      <c r="DK49" s="1243">
        <f ca="1">IF(DK11=0,0,DK11/$Q49)</f>
        <v>0</v>
      </c>
      <c r="DL49" s="1243">
        <f ca="1">IF(DL11=0,0,DL11/$Q49)</f>
        <v>0</v>
      </c>
      <c r="DM49" s="1243">
        <f ca="1">IF(DM11=0,0,DM11/$Q49)</f>
        <v>0</v>
      </c>
      <c r="DN49" s="1243">
        <f ca="1">IF(DN11=0,0,DN11/$Q49)</f>
        <v>0</v>
      </c>
      <c r="DO49" s="1243">
        <f ca="1">IF(DO11=0,0,DO11/$Q49)</f>
        <v>0</v>
      </c>
      <c r="DP49" s="1243">
        <f>IF(DP11=0,0,DP11/$Q49)</f>
        <v>0</v>
      </c>
      <c r="DQ49" s="1243">
        <f>IF(DQ11=0,0,DQ11/$Q49)</f>
        <v>0</v>
      </c>
      <c r="DR49" s="1243">
        <f>IF(DR11=0,0,DR11/$Q49)</f>
        <v>0</v>
      </c>
      <c r="DS49" s="1243">
        <f>IF(DS11=0,0,DS11/$Q49)</f>
        <v>0</v>
      </c>
      <c r="DT49" s="1243">
        <f>IF(DT11=0,0,DT11/$Q49)</f>
        <v>0</v>
      </c>
      <c r="DU49" s="1243">
        <f>IF(DU11=0,0,DU11/$Q49)</f>
        <v>0</v>
      </c>
      <c r="DV49" s="1243">
        <f>IF(DV11=0,0,DV11/$Q49)</f>
        <v>0</v>
      </c>
      <c r="DW49" s="1243">
        <f>IF(DW11=0,0,DW11/$Q49)</f>
        <v>0</v>
      </c>
      <c r="DX49" s="1243"/>
    </row>
    <row r="50" spans="2:128" ht="23" customHeight="1" x14ac:dyDescent="0.3">
      <c r="B50" s="89" vm="178">
        <f ca="1"/>
        <v>45904</v>
      </c>
      <c r="C50" s="89" vm="179">
        <f ca="1"/>
        <v>647.6</v>
      </c>
      <c r="D50" s="1225">
        <f t="shared" ca="1" si="0"/>
        <v>3.5662881816728081E-2</v>
      </c>
      <c r="E50" s="294" t="str" cm="1">
        <f t="array" aca="1" ref="E50" ca="1">_xlfn.IFS(D50&gt;ZPercent,"U",D50&lt;=-ZPercent,"D",TRUE,"Z")</f>
        <v>U</v>
      </c>
      <c r="F50" s="294" t="str">
        <f t="shared" ca="1" si="1"/>
        <v>UU</v>
      </c>
      <c r="G50" s="294" t="str">
        <f t="shared" ca="1" si="2"/>
        <v>DUU</v>
      </c>
      <c r="H50" s="874" t="str">
        <f t="shared" ca="1" si="3"/>
        <v/>
      </c>
      <c r="J50" s="89" vm="180">
        <f ca="1"/>
        <v>45722</v>
      </c>
      <c r="K50" s="89" vm="181">
        <f ca="1"/>
        <v>670</v>
      </c>
      <c r="N50" s="874" t="str">
        <f ca="1">IF(F50=[2]Sheet1!O48,"","dif")</f>
        <v>dif</v>
      </c>
      <c r="O50" s="1216"/>
      <c r="P50" s="1208" cm="1">
        <f t="array" aca="1" ref="P50" ca="1">IFERROR(INDEX($S50:$AT50,
       MATCH(TRUE,
             (($R50=R43)*
              (RIGHT($S$47:$AT$47,3)=NewMUP)*
              ($S50:$AT50&gt;0))&gt;0,
       0)),0)</f>
        <v>0</v>
      </c>
      <c r="Q50" s="1305">
        <f ca="1">SUM(S12:INDEX(8:8, COLUMN($S12) +$R$47 - 1))</f>
        <v>43</v>
      </c>
      <c r="R50" s="1249" t="str">
        <f t="shared" ca="1" si="6"/>
        <v>DUD</v>
      </c>
      <c r="S50" s="1242">
        <f t="shared" ref="S50:AS50" ca="1" si="11">IF(S12=0,0,S12/$Q50)</f>
        <v>0</v>
      </c>
      <c r="T50" s="1243">
        <f t="shared" ca="1" si="11"/>
        <v>0.23255813953488372</v>
      </c>
      <c r="U50" s="1243">
        <f t="shared" ca="1" si="11"/>
        <v>0</v>
      </c>
      <c r="V50" s="1243">
        <f t="shared" ca="1" si="11"/>
        <v>0.11627906976744186</v>
      </c>
      <c r="W50" s="1243">
        <f t="shared" ca="1" si="11"/>
        <v>0</v>
      </c>
      <c r="X50" s="1243">
        <f t="shared" ca="1" si="11"/>
        <v>0</v>
      </c>
      <c r="Y50" s="1243">
        <f t="shared" ca="1" si="11"/>
        <v>0</v>
      </c>
      <c r="Z50" s="1243">
        <f t="shared" ca="1" si="11"/>
        <v>0</v>
      </c>
      <c r="AA50" s="1243">
        <f t="shared" ca="1" si="11"/>
        <v>0</v>
      </c>
      <c r="AB50" s="1243">
        <f t="shared" ca="1" si="11"/>
        <v>0</v>
      </c>
      <c r="AC50" s="1243">
        <f t="shared" ca="1" si="11"/>
        <v>0</v>
      </c>
      <c r="AD50" s="1243">
        <f t="shared" ca="1" si="11"/>
        <v>0</v>
      </c>
      <c r="AE50" s="1243">
        <f t="shared" ca="1" si="11"/>
        <v>0</v>
      </c>
      <c r="AF50" s="1243">
        <f t="shared" ca="1" si="11"/>
        <v>0</v>
      </c>
      <c r="AG50" s="1243">
        <f t="shared" ca="1" si="11"/>
        <v>0</v>
      </c>
      <c r="AH50" s="1243">
        <f t="shared" ca="1" si="11"/>
        <v>0</v>
      </c>
      <c r="AI50" s="1243">
        <f t="shared" ca="1" si="11"/>
        <v>0</v>
      </c>
      <c r="AJ50" s="1243">
        <f t="shared" ca="1" si="11"/>
        <v>0</v>
      </c>
      <c r="AK50" s="1243">
        <f t="shared" ca="1" si="11"/>
        <v>0</v>
      </c>
      <c r="AL50" s="1243">
        <f t="shared" ca="1" si="11"/>
        <v>2.3255813953488372E-2</v>
      </c>
      <c r="AM50" s="1243">
        <f t="shared" ca="1" si="11"/>
        <v>0</v>
      </c>
      <c r="AN50" s="1243">
        <f t="shared" ca="1" si="11"/>
        <v>0</v>
      </c>
      <c r="AO50" s="1243">
        <f t="shared" ca="1" si="11"/>
        <v>0</v>
      </c>
      <c r="AP50" s="1243">
        <f t="shared" ca="1" si="11"/>
        <v>0</v>
      </c>
      <c r="AQ50" s="1243">
        <f t="shared" ca="1" si="11"/>
        <v>0</v>
      </c>
      <c r="AR50" s="1243">
        <f t="shared" ca="1" si="11"/>
        <v>0</v>
      </c>
      <c r="AS50" s="1243">
        <f t="shared" ca="1" si="11"/>
        <v>0</v>
      </c>
      <c r="AT50" s="1243">
        <f t="shared" ca="1" si="10"/>
        <v>0</v>
      </c>
      <c r="AU50" s="1243"/>
      <c r="AV50" s="1243"/>
      <c r="AW50" s="1243"/>
      <c r="AX50" s="1243"/>
      <c r="AZ50" s="1243"/>
      <c r="CP50" s="1208" cm="1">
        <f t="array" aca="1" ref="CP50" ca="1">IFERROR(INDEX($CR50:$DU50,
       MATCH(TRUE,
             (($CR50=CQ$43)*
              (RIGHT($CS$47:$DU$47,3)=NewMUP)*
              ($CR50:$DU50&gt;0))&gt;0,
       0)),0)</f>
        <v>0</v>
      </c>
      <c r="CQ50" s="1305">
        <f ca="1">SUM(CS12:INDEX(8:8, COLUMN($CS12) +$CR$47 - 1))</f>
        <v>2</v>
      </c>
      <c r="CR50" s="1217" t="str">
        <f t="shared" ca="1" si="8"/>
        <v>DUD</v>
      </c>
      <c r="CS50" s="1243">
        <f ca="1">IF(CS12=0,0,CS12/$Q50)</f>
        <v>0</v>
      </c>
      <c r="CT50" s="1243">
        <f ca="1">IF(CT12=0,0,CT12/$Q50)</f>
        <v>2.3255813953488372E-2</v>
      </c>
      <c r="CU50" s="1243">
        <f ca="1">IF(CU12=0,0,CU12/$Q50)</f>
        <v>0</v>
      </c>
      <c r="CV50" s="1243">
        <f ca="1">IF(CV12=0,0,CV12/$Q50)</f>
        <v>0</v>
      </c>
      <c r="CW50" s="1243">
        <f ca="1">IF(CW12=0,0,CW12/$Q50)</f>
        <v>0</v>
      </c>
      <c r="CX50" s="1243">
        <f ca="1">IF(CX12=0,0,CX12/$Q50)</f>
        <v>0</v>
      </c>
      <c r="CY50" s="1243">
        <f ca="1">IF(CY12=0,0,CY12/$Q50)</f>
        <v>0</v>
      </c>
      <c r="CZ50" s="1243">
        <f ca="1">IF(CZ12=0,0,CZ12/$Q50)</f>
        <v>0</v>
      </c>
      <c r="DA50" s="1243">
        <f ca="1">IF(DA12=0,0,DA12/$Q50)</f>
        <v>0</v>
      </c>
      <c r="DB50" s="1243">
        <f ca="1">IF(DB12=0,0,DB12/$Q50)</f>
        <v>0</v>
      </c>
      <c r="DC50" s="1243">
        <f ca="1">IF(DC12=0,0,DC12/$Q50)</f>
        <v>0</v>
      </c>
      <c r="DD50" s="1243">
        <f ca="1">IF(DD12=0,0,DD12/$Q50)</f>
        <v>0</v>
      </c>
      <c r="DE50" s="1243">
        <f ca="1">IF(DE12=0,0,DE12/$Q50)</f>
        <v>0</v>
      </c>
      <c r="DF50" s="1243">
        <f ca="1">IF(DF12=0,0,DF12/$Q50)</f>
        <v>0</v>
      </c>
      <c r="DG50" s="1243">
        <f ca="1">IF(DG12=0,0,DG12/$Q50)</f>
        <v>0</v>
      </c>
      <c r="DH50" s="1243">
        <f ca="1">IF(DH12=0,0,DH12/$Q50)</f>
        <v>0</v>
      </c>
      <c r="DI50" s="1243">
        <f ca="1">IF(DI12=0,0,DI12/$Q50)</f>
        <v>0</v>
      </c>
      <c r="DJ50" s="1243">
        <f ca="1">IF(DJ12=0,0,DJ12/$Q50)</f>
        <v>0</v>
      </c>
      <c r="DK50" s="1243">
        <f ca="1">IF(DK12=0,0,DK12/$Q50)</f>
        <v>0</v>
      </c>
      <c r="DL50" s="1243">
        <f ca="1">IF(DL12=0,0,DL12/$Q50)</f>
        <v>0</v>
      </c>
      <c r="DM50" s="1243">
        <f ca="1">IF(DM12=0,0,DM12/$Q50)</f>
        <v>0</v>
      </c>
      <c r="DN50" s="1243">
        <f ca="1">IF(DN12=0,0,DN12/$Q50)</f>
        <v>0</v>
      </c>
      <c r="DO50" s="1243">
        <f ca="1">IF(DO12=0,0,DO12/$Q50)</f>
        <v>0</v>
      </c>
      <c r="DP50" s="1243">
        <f>IF(DP12=0,0,DP12/$Q50)</f>
        <v>0</v>
      </c>
      <c r="DQ50" s="1243">
        <f>IF(DQ12=0,0,DQ12/$Q50)</f>
        <v>0</v>
      </c>
      <c r="DR50" s="1243">
        <f>IF(DR12=0,0,DR12/$Q50)</f>
        <v>0</v>
      </c>
      <c r="DS50" s="1243">
        <f>IF(DS12=0,0,DS12/$Q50)</f>
        <v>0</v>
      </c>
      <c r="DT50" s="1243">
        <f>IF(DT12=0,0,DT12/$Q50)</f>
        <v>0</v>
      </c>
      <c r="DU50" s="1243">
        <f>IF(DU12=0,0,DU12/$Q50)</f>
        <v>0</v>
      </c>
      <c r="DV50" s="1243">
        <f>IF(DV12=0,0,DV12/$Q50)</f>
        <v>0</v>
      </c>
      <c r="DW50" s="1243">
        <f>IF(DW12=0,0,DW12/$Q50)</f>
        <v>0</v>
      </c>
      <c r="DX50" s="1243"/>
    </row>
    <row r="51" spans="2:128" ht="22" customHeight="1" x14ac:dyDescent="0.3">
      <c r="B51" s="89" vm="182">
        <f ca="1"/>
        <v>45903</v>
      </c>
      <c r="C51" s="89" vm="183">
        <f ca="1"/>
        <v>625.29999999999995</v>
      </c>
      <c r="D51" s="1225">
        <f t="shared" ca="1" si="0"/>
        <v>1.3123784834737376E-2</v>
      </c>
      <c r="E51" s="294" t="str" cm="1">
        <f t="array" aca="1" ref="E51" ca="1">_xlfn.IFS(D51&gt;ZPercent,"U",D51&lt;=-ZPercent,"D",TRUE,"Z")</f>
        <v>U</v>
      </c>
      <c r="F51" s="294" t="str">
        <f t="shared" ca="1" si="1"/>
        <v>DU</v>
      </c>
      <c r="G51" s="294" t="str">
        <f t="shared" ca="1" si="2"/>
        <v>ZDU</v>
      </c>
      <c r="H51" s="874" t="str">
        <f t="shared" ca="1" si="3"/>
        <v/>
      </c>
      <c r="J51" s="89" vm="184">
        <f ca="1"/>
        <v>45723</v>
      </c>
      <c r="K51" s="89" vm="185">
        <f ca="1"/>
        <v>666</v>
      </c>
      <c r="N51" s="874" t="str">
        <f ca="1">IF(F51=[2]Sheet1!O49,"","dif")</f>
        <v>dif</v>
      </c>
      <c r="O51" s="1216"/>
      <c r="P51" s="1208" cm="1">
        <f t="array" aca="1" ref="P51" ca="1">IFERROR(INDEX($S51:$AT51,
       MATCH(TRUE,
             (($R51=Q47)*
              (RIGHT($S$47:$AT$47,3)=NewMUP)*
              ($S51:$AT51&gt;0))&gt;0,
       0)),0)</f>
        <v>0</v>
      </c>
      <c r="Q51" s="1305">
        <f ca="1">SUM(S13:INDEX(9:9, COLUMN($S13) +$R$47 - 1))</f>
        <v>54</v>
      </c>
      <c r="R51" s="1249" t="str">
        <f t="shared" ca="1" si="6"/>
        <v>UDU</v>
      </c>
      <c r="S51" s="1242">
        <f t="shared" ref="S51:AS51" ca="1" si="12">IF(S13=0,0,S13/$Q51)</f>
        <v>0</v>
      </c>
      <c r="T51" s="1243">
        <f t="shared" ca="1" si="12"/>
        <v>0</v>
      </c>
      <c r="U51" s="1243">
        <f t="shared" ca="1" si="12"/>
        <v>0.12962962962962962</v>
      </c>
      <c r="V51" s="1243">
        <f t="shared" ca="1" si="12"/>
        <v>0</v>
      </c>
      <c r="W51" s="1243">
        <f t="shared" ca="1" si="12"/>
        <v>0</v>
      </c>
      <c r="X51" s="1243">
        <f t="shared" ca="1" si="12"/>
        <v>0</v>
      </c>
      <c r="Y51" s="1243">
        <f t="shared" ca="1" si="12"/>
        <v>0</v>
      </c>
      <c r="Z51" s="1243">
        <f t="shared" ca="1" si="12"/>
        <v>0</v>
      </c>
      <c r="AA51" s="1243">
        <f t="shared" ca="1" si="12"/>
        <v>0</v>
      </c>
      <c r="AB51" s="1243">
        <f t="shared" ca="1" si="12"/>
        <v>3.7037037037037035E-2</v>
      </c>
      <c r="AC51" s="1243">
        <f t="shared" ca="1" si="12"/>
        <v>0</v>
      </c>
      <c r="AD51" s="1243">
        <f t="shared" ca="1" si="12"/>
        <v>0</v>
      </c>
      <c r="AE51" s="1243">
        <f t="shared" ca="1" si="12"/>
        <v>3.7037037037037035E-2</v>
      </c>
      <c r="AF51" s="1243">
        <f t="shared" ca="1" si="12"/>
        <v>0</v>
      </c>
      <c r="AG51" s="1243">
        <f t="shared" ca="1" si="12"/>
        <v>0</v>
      </c>
      <c r="AH51" s="1243">
        <f t="shared" ca="1" si="12"/>
        <v>0</v>
      </c>
      <c r="AI51" s="1243">
        <f t="shared" ca="1" si="12"/>
        <v>0</v>
      </c>
      <c r="AJ51" s="1243">
        <f t="shared" ca="1" si="12"/>
        <v>0</v>
      </c>
      <c r="AK51" s="1243">
        <f t="shared" ca="1" si="12"/>
        <v>0</v>
      </c>
      <c r="AL51" s="1243">
        <f t="shared" ca="1" si="12"/>
        <v>0</v>
      </c>
      <c r="AM51" s="1243">
        <f t="shared" ca="1" si="12"/>
        <v>0</v>
      </c>
      <c r="AN51" s="1243">
        <f t="shared" ca="1" si="12"/>
        <v>0</v>
      </c>
      <c r="AO51" s="1243">
        <f t="shared" ca="1" si="12"/>
        <v>0</v>
      </c>
      <c r="AP51" s="1243">
        <f t="shared" ca="1" si="12"/>
        <v>0</v>
      </c>
      <c r="AQ51" s="1243">
        <f t="shared" ca="1" si="12"/>
        <v>0</v>
      </c>
      <c r="AR51" s="1243">
        <f t="shared" ca="1" si="12"/>
        <v>0</v>
      </c>
      <c r="AS51" s="1243">
        <f t="shared" ca="1" si="12"/>
        <v>0</v>
      </c>
      <c r="AT51" s="1243">
        <f t="shared" ca="1" si="10"/>
        <v>0</v>
      </c>
      <c r="AU51" s="1243"/>
      <c r="AV51" s="1243"/>
      <c r="AW51" s="1243"/>
      <c r="AX51" s="1243"/>
      <c r="AZ51" s="1243"/>
      <c r="CP51" s="1208" cm="1">
        <f t="array" aca="1" ref="CP51" ca="1">IFERROR(INDEX($CR51:$DU51,
       MATCH(TRUE,
             (($CR51=CQ$43)*
              (RIGHT($CS$47:$DU$47,3)=NewMUP)*
              ($CR51:$DU51&gt;0))&gt;0,
       0)),0)</f>
        <v>0</v>
      </c>
      <c r="CQ51" s="1305">
        <f ca="1">SUM(CS13:INDEX(9:9, COLUMN($CS13) +$CR$47 - 1))</f>
        <v>3</v>
      </c>
      <c r="CR51" s="1217" t="str">
        <f t="shared" ca="1" si="8"/>
        <v>UDU</v>
      </c>
      <c r="CS51" s="1243">
        <f ca="1">IF(CS13=0,0,CS13/$Q51)</f>
        <v>0</v>
      </c>
      <c r="CT51" s="1243">
        <f ca="1">IF(CT13=0,0,CT13/$Q51)</f>
        <v>0</v>
      </c>
      <c r="CU51" s="1243">
        <f ca="1">IF(CU13=0,0,CU13/$Q51)</f>
        <v>1.8518518518518517E-2</v>
      </c>
      <c r="CV51" s="1243">
        <f ca="1">IF(CV13=0,0,CV13/$Q51)</f>
        <v>0</v>
      </c>
      <c r="CW51" s="1243">
        <f ca="1">IF(CW13=0,0,CW13/$Q51)</f>
        <v>0</v>
      </c>
      <c r="CX51" s="1243">
        <f ca="1">IF(CX13=0,0,CX13/$Q51)</f>
        <v>0</v>
      </c>
      <c r="CY51" s="1243">
        <f ca="1">IF(CY13=0,0,CY13/$Q51)</f>
        <v>0</v>
      </c>
      <c r="CZ51" s="1243">
        <f ca="1">IF(CZ13=0,0,CZ13/$Q51)</f>
        <v>0</v>
      </c>
      <c r="DA51" s="1243">
        <f ca="1">IF(DA13=0,0,DA13/$Q51)</f>
        <v>0</v>
      </c>
      <c r="DB51" s="1243">
        <f ca="1">IF(DB13=0,0,DB13/$Q51)</f>
        <v>0</v>
      </c>
      <c r="DC51" s="1243">
        <f ca="1">IF(DC13=0,0,DC13/$Q51)</f>
        <v>0</v>
      </c>
      <c r="DD51" s="1243">
        <f ca="1">IF(DD13=0,0,DD13/$Q51)</f>
        <v>0</v>
      </c>
      <c r="DE51" s="1243">
        <f ca="1">IF(DE13=0,0,DE13/$Q51)</f>
        <v>0</v>
      </c>
      <c r="DF51" s="1243">
        <f ca="1">IF(DF13=0,0,DF13/$Q51)</f>
        <v>0</v>
      </c>
      <c r="DG51" s="1243">
        <f ca="1">IF(DG13=0,0,DG13/$Q51)</f>
        <v>0</v>
      </c>
      <c r="DH51" s="1243">
        <f ca="1">IF(DH13=0,0,DH13/$Q51)</f>
        <v>0</v>
      </c>
      <c r="DI51" s="1243">
        <f ca="1">IF(DI13=0,0,DI13/$Q51)</f>
        <v>0</v>
      </c>
      <c r="DJ51" s="1243">
        <f ca="1">IF(DJ13=0,0,DJ13/$Q51)</f>
        <v>0</v>
      </c>
      <c r="DK51" s="1243">
        <f ca="1">IF(DK13=0,0,DK13/$Q51)</f>
        <v>0</v>
      </c>
      <c r="DL51" s="1243">
        <f ca="1">IF(DL13=0,0,DL13/$Q51)</f>
        <v>0</v>
      </c>
      <c r="DM51" s="1243">
        <f ca="1">IF(DM13=0,0,DM13/$Q51)</f>
        <v>0</v>
      </c>
      <c r="DN51" s="1243">
        <f ca="1">IF(DN13=0,0,DN13/$Q51)</f>
        <v>0</v>
      </c>
      <c r="DO51" s="1243">
        <f ca="1">IF(DO13=0,0,DO13/$Q51)</f>
        <v>0</v>
      </c>
      <c r="DP51" s="1243">
        <f>IF(DP13=0,0,DP13/$Q51)</f>
        <v>0</v>
      </c>
      <c r="DQ51" s="1243">
        <f>IF(DQ13=0,0,DQ13/$Q51)</f>
        <v>0</v>
      </c>
      <c r="DR51" s="1243">
        <f>IF(DR13=0,0,DR13/$Q51)</f>
        <v>0</v>
      </c>
      <c r="DS51" s="1243">
        <f>IF(DS13=0,0,DS13/$Q51)</f>
        <v>0</v>
      </c>
      <c r="DT51" s="1243">
        <f>IF(DT13=0,0,DT13/$Q51)</f>
        <v>0</v>
      </c>
      <c r="DU51" s="1243">
        <f>IF(DU13=0,0,DU13/$Q51)</f>
        <v>0</v>
      </c>
      <c r="DV51" s="1243">
        <f>IF(DV13=0,0,DV13/$Q51)</f>
        <v>0</v>
      </c>
      <c r="DW51" s="1243">
        <f>IF(DW13=0,0,DW13/$Q51)</f>
        <v>0</v>
      </c>
      <c r="DX51" s="1243"/>
    </row>
    <row r="52" spans="2:128" ht="23" customHeight="1" x14ac:dyDescent="0.3">
      <c r="B52" s="89" vm="186">
        <f ca="1"/>
        <v>45902</v>
      </c>
      <c r="C52" s="89" vm="187">
        <f ca="1"/>
        <v>617.20000000000005</v>
      </c>
      <c r="D52" s="1225">
        <f t="shared" ca="1" si="0"/>
        <v>-2.9712309385316736E-2</v>
      </c>
      <c r="E52" s="294" t="str" cm="1">
        <f t="array" aca="1" ref="E52" ca="1">_xlfn.IFS(D52&gt;ZPercent,"U",D52&lt;=-ZPercent,"D",TRUE,"Z")</f>
        <v>D</v>
      </c>
      <c r="F52" s="294" t="str">
        <f t="shared" ca="1" si="1"/>
        <v>ZD</v>
      </c>
      <c r="G52" s="294" t="str">
        <f t="shared" ca="1" si="2"/>
        <v>DZD</v>
      </c>
      <c r="H52" s="874" t="str">
        <f t="shared" ca="1" si="3"/>
        <v>ZZ</v>
      </c>
      <c r="J52" s="89" vm="188">
        <f ca="1"/>
        <v>45726</v>
      </c>
      <c r="K52" s="89" vm="189">
        <f ca="1"/>
        <v>639</v>
      </c>
      <c r="N52" s="874" t="str">
        <f ca="1">IF(F52=[2]Sheet1!O50,"","dif")</f>
        <v>dif</v>
      </c>
      <c r="O52" s="1216"/>
      <c r="P52" s="1208" cm="1">
        <f t="array" aca="1" ref="P52" ca="1">IFERROR(INDEX($S52:$AT52,
       MATCH(TRUE,
             (($R52=Q48)*
              (RIGHT($S$47:$AT$47,3)=NewMUP)*
              ($S52:$AT52&gt;0))&gt;0,
       0)),0)</f>
        <v>0</v>
      </c>
      <c r="Q52" s="1305">
        <f ca="1">SUM(S14:INDEX(10:10, COLUMN($S14) +$R$47 - 1))</f>
        <v>64</v>
      </c>
      <c r="R52" s="1249" t="str">
        <f t="shared" ca="1" si="6"/>
        <v>UUD</v>
      </c>
      <c r="S52" s="1242">
        <f t="shared" ref="S52:AS52" ca="1" si="13">IF(S14=0,0,S14/$Q52)</f>
        <v>0</v>
      </c>
      <c r="T52" s="1243">
        <f t="shared" ca="1" si="13"/>
        <v>4.6875E-2</v>
      </c>
      <c r="U52" s="1243">
        <f t="shared" ca="1" si="13"/>
        <v>0</v>
      </c>
      <c r="V52" s="1243">
        <f t="shared" ca="1" si="13"/>
        <v>7.8125E-2</v>
      </c>
      <c r="W52" s="1243">
        <f t="shared" ca="1" si="13"/>
        <v>0</v>
      </c>
      <c r="X52" s="1243">
        <f t="shared" ca="1" si="13"/>
        <v>0</v>
      </c>
      <c r="Y52" s="1243">
        <f t="shared" ca="1" si="13"/>
        <v>0</v>
      </c>
      <c r="Z52" s="1243">
        <f t="shared" ca="1" si="13"/>
        <v>0</v>
      </c>
      <c r="AA52" s="1243">
        <f t="shared" ca="1" si="13"/>
        <v>0</v>
      </c>
      <c r="AB52" s="1243">
        <f t="shared" ca="1" si="13"/>
        <v>0</v>
      </c>
      <c r="AC52" s="1243">
        <f t="shared" ca="1" si="13"/>
        <v>0</v>
      </c>
      <c r="AD52" s="1243">
        <f t="shared" ca="1" si="13"/>
        <v>0</v>
      </c>
      <c r="AE52" s="1243">
        <f t="shared" ca="1" si="13"/>
        <v>0</v>
      </c>
      <c r="AF52" s="1243">
        <f t="shared" ca="1" si="13"/>
        <v>0</v>
      </c>
      <c r="AG52" s="1243">
        <f t="shared" ca="1" si="13"/>
        <v>0</v>
      </c>
      <c r="AH52" s="1243">
        <f t="shared" ca="1" si="13"/>
        <v>0</v>
      </c>
      <c r="AI52" s="1243">
        <f t="shared" ca="1" si="13"/>
        <v>0</v>
      </c>
      <c r="AJ52" s="1243">
        <f t="shared" ca="1" si="13"/>
        <v>0</v>
      </c>
      <c r="AK52" s="1243">
        <f t="shared" ca="1" si="13"/>
        <v>0</v>
      </c>
      <c r="AL52" s="1243">
        <f t="shared" ca="1" si="13"/>
        <v>3.125E-2</v>
      </c>
      <c r="AM52" s="1243">
        <f t="shared" ca="1" si="13"/>
        <v>0</v>
      </c>
      <c r="AN52" s="1243">
        <f t="shared" ca="1" si="13"/>
        <v>0</v>
      </c>
      <c r="AO52" s="1243">
        <f t="shared" ca="1" si="13"/>
        <v>0</v>
      </c>
      <c r="AP52" s="1243">
        <f t="shared" ca="1" si="13"/>
        <v>0</v>
      </c>
      <c r="AQ52" s="1243">
        <f t="shared" ca="1" si="13"/>
        <v>0</v>
      </c>
      <c r="AR52" s="1243">
        <f t="shared" ca="1" si="13"/>
        <v>0</v>
      </c>
      <c r="AS52" s="1243">
        <f t="shared" ca="1" si="13"/>
        <v>0</v>
      </c>
      <c r="AT52" s="1243">
        <f t="shared" ca="1" si="10"/>
        <v>0</v>
      </c>
      <c r="AU52" s="1243"/>
      <c r="AV52" s="1243"/>
      <c r="AW52" s="1243"/>
      <c r="AX52" s="1243"/>
      <c r="AZ52" s="1243"/>
      <c r="CP52" s="1208" cm="1">
        <f t="array" aca="1" ref="CP52" ca="1">IFERROR(INDEX($CR52:$DU52,
       MATCH(TRUE,
             (($CR52=CQ$43)*
              (RIGHT($CS$47:$DU$47,3)=NewMUP)*
              ($CR52:$DU52&gt;0))&gt;0,
       0)),0)</f>
        <v>0</v>
      </c>
      <c r="CQ52" s="1305">
        <f ca="1">SUM(CS14:INDEX(10:10, COLUMN($CS14) +$CR$47 - 1))</f>
        <v>4</v>
      </c>
      <c r="CR52" s="1217" t="str">
        <f t="shared" ca="1" si="8"/>
        <v>UUD</v>
      </c>
      <c r="CS52" s="1243">
        <f ca="1">IF(CS14=0,0,CS14/$Q52)</f>
        <v>0</v>
      </c>
      <c r="CT52" s="1243">
        <f ca="1">IF(CT14=0,0,CT14/$Q52)</f>
        <v>0</v>
      </c>
      <c r="CU52" s="1243">
        <f ca="1">IF(CU14=0,0,CU14/$Q52)</f>
        <v>0</v>
      </c>
      <c r="CV52" s="1243">
        <f ca="1">IF(CV14=0,0,CV14/$Q52)</f>
        <v>1.5625E-2</v>
      </c>
      <c r="CW52" s="1243">
        <f ca="1">IF(CW14=0,0,CW14/$Q52)</f>
        <v>0</v>
      </c>
      <c r="CX52" s="1243">
        <f ca="1">IF(CX14=0,0,CX14/$Q52)</f>
        <v>0</v>
      </c>
      <c r="CY52" s="1243">
        <f ca="1">IF(CY14=0,0,CY14/$Q52)</f>
        <v>0</v>
      </c>
      <c r="CZ52" s="1243">
        <f ca="1">IF(CZ14=0,0,CZ14/$Q52)</f>
        <v>0</v>
      </c>
      <c r="DA52" s="1243">
        <f ca="1">IF(DA14=0,0,DA14/$Q52)</f>
        <v>0</v>
      </c>
      <c r="DB52" s="1243">
        <f ca="1">IF(DB14=0,0,DB14/$Q52)</f>
        <v>0</v>
      </c>
      <c r="DC52" s="1243">
        <f ca="1">IF(DC14=0,0,DC14/$Q52)</f>
        <v>0</v>
      </c>
      <c r="DD52" s="1243">
        <f ca="1">IF(DD14=0,0,DD14/$Q52)</f>
        <v>0</v>
      </c>
      <c r="DE52" s="1243">
        <f ca="1">IF(DE14=0,0,DE14/$Q52)</f>
        <v>0</v>
      </c>
      <c r="DF52" s="1243">
        <f ca="1">IF(DF14=0,0,DF14/$Q52)</f>
        <v>0</v>
      </c>
      <c r="DG52" s="1243">
        <f ca="1">IF(DG14=0,0,DG14/$Q52)</f>
        <v>0</v>
      </c>
      <c r="DH52" s="1243">
        <f ca="1">IF(DH14=0,0,DH14/$Q52)</f>
        <v>0</v>
      </c>
      <c r="DI52" s="1243">
        <f ca="1">IF(DI14=0,0,DI14/$Q52)</f>
        <v>0</v>
      </c>
      <c r="DJ52" s="1243">
        <f ca="1">IF(DJ14=0,0,DJ14/$Q52)</f>
        <v>0</v>
      </c>
      <c r="DK52" s="1243">
        <f ca="1">IF(DK14=0,0,DK14/$Q52)</f>
        <v>0</v>
      </c>
      <c r="DL52" s="1243">
        <f ca="1">IF(DL14=0,0,DL14/$Q52)</f>
        <v>0</v>
      </c>
      <c r="DM52" s="1243">
        <f ca="1">IF(DM14=0,0,DM14/$Q52)</f>
        <v>0</v>
      </c>
      <c r="DN52" s="1243">
        <f ca="1">IF(DN14=0,0,DN14/$Q52)</f>
        <v>0</v>
      </c>
      <c r="DO52" s="1243">
        <f ca="1">IF(DO14=0,0,DO14/$Q52)</f>
        <v>0</v>
      </c>
      <c r="DP52" s="1243">
        <f>IF(DP14=0,0,DP14/$Q52)</f>
        <v>0</v>
      </c>
      <c r="DQ52" s="1243">
        <f>IF(DQ14=0,0,DQ14/$Q52)</f>
        <v>0</v>
      </c>
      <c r="DR52" s="1243">
        <f>IF(DR14=0,0,DR14/$Q52)</f>
        <v>0</v>
      </c>
      <c r="DS52" s="1243">
        <f>IF(DS14=0,0,DS14/$Q52)</f>
        <v>0</v>
      </c>
      <c r="DT52" s="1243">
        <f>IF(DT14=0,0,DT14/$Q52)</f>
        <v>0</v>
      </c>
      <c r="DU52" s="1243">
        <f>IF(DU14=0,0,DU14/$Q52)</f>
        <v>0</v>
      </c>
      <c r="DV52" s="1243">
        <f>IF(DV14=0,0,DV14/$Q52)</f>
        <v>0</v>
      </c>
      <c r="DW52" s="1243">
        <f>IF(DW14=0,0,DW14/$Q52)</f>
        <v>0</v>
      </c>
      <c r="DX52" s="1243"/>
    </row>
    <row r="53" spans="2:128" x14ac:dyDescent="0.3">
      <c r="B53" s="89" vm="190">
        <f ca="1"/>
        <v>45901</v>
      </c>
      <c r="C53" s="89" vm="191">
        <f ca="1"/>
        <v>636.1</v>
      </c>
      <c r="D53" s="1225">
        <f t="shared" ca="1" si="0"/>
        <v>-7.8542255733584667E-4</v>
      </c>
      <c r="E53" s="294" t="str" cm="1">
        <f t="array" aca="1" ref="E53" ca="1">_xlfn.IFS(D53&gt;ZPercent,"U",D53&lt;=-ZPercent,"D",TRUE,"Z")</f>
        <v>Z</v>
      </c>
      <c r="F53" s="294" t="str">
        <f t="shared" ca="1" si="1"/>
        <v>DZ</v>
      </c>
      <c r="G53" s="294" t="str">
        <f t="shared" ca="1" si="2"/>
        <v>DDZ</v>
      </c>
      <c r="H53" s="874" t="str">
        <f t="shared" ca="1" si="3"/>
        <v/>
      </c>
      <c r="J53" s="89" vm="192">
        <f ca="1"/>
        <v>45727</v>
      </c>
      <c r="K53" s="89" vm="193">
        <f ca="1"/>
        <v>632</v>
      </c>
      <c r="N53" s="874" t="str">
        <f ca="1">IF(F53=[2]Sheet1!O51,"","dif")</f>
        <v>dif</v>
      </c>
      <c r="O53" s="1216"/>
      <c r="P53" s="1208" cm="1">
        <f t="array" aca="1" ref="P53" ca="1">IFERROR(INDEX($S53:$AT53,
       MATCH(TRUE,
             (($R53=Q49)*
              (RIGHT($S$47:$AT$47,3)=NewMUP)*
              ($S53:$AT53&gt;0))&gt;0,
       0)),0)</f>
        <v>0</v>
      </c>
      <c r="Q53" s="1305">
        <f ca="1">SUM(S15:INDEX(11:11, COLUMN($S15) +$R$47 - 1))</f>
        <v>64</v>
      </c>
      <c r="R53" s="1249" t="str">
        <f t="shared" ca="1" si="6"/>
        <v>ZUU</v>
      </c>
      <c r="S53" s="1242">
        <f t="shared" ref="S53:AS53" ca="1" si="14">IF(S15=0,0,S15/$Q53)</f>
        <v>0</v>
      </c>
      <c r="T53" s="1243">
        <f t="shared" ca="1" si="14"/>
        <v>0</v>
      </c>
      <c r="U53" s="1243">
        <f t="shared" ca="1" si="14"/>
        <v>0</v>
      </c>
      <c r="V53" s="1243">
        <f t="shared" ca="1" si="14"/>
        <v>0</v>
      </c>
      <c r="W53" s="1243">
        <f t="shared" ca="1" si="14"/>
        <v>6.25E-2</v>
      </c>
      <c r="X53" s="1243">
        <f t="shared" ca="1" si="14"/>
        <v>0</v>
      </c>
      <c r="Y53" s="1243">
        <f t="shared" ca="1" si="14"/>
        <v>0</v>
      </c>
      <c r="Z53" s="1243">
        <f t="shared" ca="1" si="14"/>
        <v>6.25E-2</v>
      </c>
      <c r="AA53" s="1243">
        <f t="shared" ca="1" si="14"/>
        <v>4.6875E-2</v>
      </c>
      <c r="AB53" s="1243">
        <f t="shared" ca="1" si="14"/>
        <v>0</v>
      </c>
      <c r="AC53" s="1243">
        <f t="shared" ca="1" si="14"/>
        <v>0</v>
      </c>
      <c r="AD53" s="1243">
        <f t="shared" ca="1" si="14"/>
        <v>0</v>
      </c>
      <c r="AE53" s="1243">
        <f t="shared" ca="1" si="14"/>
        <v>0</v>
      </c>
      <c r="AF53" s="1243">
        <f t="shared" ca="1" si="14"/>
        <v>0</v>
      </c>
      <c r="AG53" s="1243">
        <f t="shared" ca="1" si="14"/>
        <v>0</v>
      </c>
      <c r="AH53" s="1243">
        <f t="shared" ca="1" si="14"/>
        <v>0</v>
      </c>
      <c r="AI53" s="1243">
        <f t="shared" ca="1" si="14"/>
        <v>0</v>
      </c>
      <c r="AJ53" s="1243">
        <f t="shared" ca="1" si="14"/>
        <v>0</v>
      </c>
      <c r="AK53" s="1243">
        <f t="shared" ca="1" si="14"/>
        <v>0</v>
      </c>
      <c r="AL53" s="1243">
        <f t="shared" ca="1" si="14"/>
        <v>0</v>
      </c>
      <c r="AM53" s="1243">
        <f t="shared" ca="1" si="14"/>
        <v>0</v>
      </c>
      <c r="AN53" s="1243">
        <f t="shared" ca="1" si="14"/>
        <v>0</v>
      </c>
      <c r="AO53" s="1243">
        <f t="shared" ca="1" si="14"/>
        <v>0</v>
      </c>
      <c r="AP53" s="1243">
        <f t="shared" ca="1" si="14"/>
        <v>0</v>
      </c>
      <c r="AQ53" s="1243">
        <f t="shared" ca="1" si="14"/>
        <v>0</v>
      </c>
      <c r="AR53" s="1243">
        <f t="shared" ca="1" si="14"/>
        <v>0</v>
      </c>
      <c r="AS53" s="1243">
        <f t="shared" ca="1" si="14"/>
        <v>0</v>
      </c>
      <c r="AT53" s="1243">
        <f t="shared" ca="1" si="10"/>
        <v>0</v>
      </c>
      <c r="AU53" s="1243"/>
      <c r="AV53" s="1243"/>
      <c r="AW53" s="1243"/>
      <c r="AX53" s="1243"/>
      <c r="AZ53" s="1243"/>
      <c r="CP53" s="1208" cm="1">
        <f t="array" aca="1" ref="CP53" ca="1">IFERROR(INDEX($CR53:$DU53,
       MATCH(TRUE,
             (($CR53=CQ$43)*
              (RIGHT($CS$47:$DU$47,3)=NewMUP)*
              ($CR53:$DU53&gt;0))&gt;0,
       0)),0)</f>
        <v>0</v>
      </c>
      <c r="CQ53" s="1305">
        <f ca="1">SUM(CS15:INDEX(11:11, COLUMN($CS15) +$CR$47 - 1))</f>
        <v>6</v>
      </c>
      <c r="CR53" s="1217" t="str">
        <f t="shared" ca="1" si="8"/>
        <v>ZUU</v>
      </c>
      <c r="CS53" s="1243">
        <f ca="1">IF(CS15=0,0,CS15/$Q53)</f>
        <v>0</v>
      </c>
      <c r="CT53" s="1243">
        <f ca="1">IF(CT15=0,0,CT15/$Q53)</f>
        <v>0</v>
      </c>
      <c r="CU53" s="1243">
        <f ca="1">IF(CU15=0,0,CU15/$Q53)</f>
        <v>0</v>
      </c>
      <c r="CV53" s="1243">
        <f ca="1">IF(CV15=0,0,CV15/$Q53)</f>
        <v>0</v>
      </c>
      <c r="CW53" s="1243">
        <f ca="1">IF(CW15=0,0,CW15/$Q53)</f>
        <v>1.5625E-2</v>
      </c>
      <c r="CX53" s="1243">
        <f ca="1">IF(CX15=0,0,CX15/$Q53)</f>
        <v>0</v>
      </c>
      <c r="CY53" s="1243">
        <f ca="1">IF(CY15=0,0,CY15/$Q53)</f>
        <v>0</v>
      </c>
      <c r="CZ53" s="1243">
        <f ca="1">IF(CZ15=0,0,CZ15/$Q53)</f>
        <v>1.5625E-2</v>
      </c>
      <c r="DA53" s="1243">
        <f ca="1">IF(DA15=0,0,DA15/$Q53)</f>
        <v>0</v>
      </c>
      <c r="DB53" s="1243">
        <f ca="1">IF(DB15=0,0,DB15/$Q53)</f>
        <v>0</v>
      </c>
      <c r="DC53" s="1243">
        <f ca="1">IF(DC15=0,0,DC15/$Q53)</f>
        <v>0</v>
      </c>
      <c r="DD53" s="1243">
        <f ca="1">IF(DD15=0,0,DD15/$Q53)</f>
        <v>0</v>
      </c>
      <c r="DE53" s="1243">
        <f ca="1">IF(DE15=0,0,DE15/$Q53)</f>
        <v>0</v>
      </c>
      <c r="DF53" s="1243">
        <f ca="1">IF(DF15=0,0,DF15/$Q53)</f>
        <v>0</v>
      </c>
      <c r="DG53" s="1243">
        <f ca="1">IF(DG15=0,0,DG15/$Q53)</f>
        <v>0</v>
      </c>
      <c r="DH53" s="1243">
        <f ca="1">IF(DH15=0,0,DH15/$Q53)</f>
        <v>0</v>
      </c>
      <c r="DI53" s="1243">
        <f ca="1">IF(DI15=0,0,DI15/$Q53)</f>
        <v>0</v>
      </c>
      <c r="DJ53" s="1243">
        <f ca="1">IF(DJ15=0,0,DJ15/$Q53)</f>
        <v>0</v>
      </c>
      <c r="DK53" s="1243">
        <f ca="1">IF(DK15=0,0,DK15/$Q53)</f>
        <v>0</v>
      </c>
      <c r="DL53" s="1243">
        <f ca="1">IF(DL15=0,0,DL15/$Q53)</f>
        <v>0</v>
      </c>
      <c r="DM53" s="1243">
        <f ca="1">IF(DM15=0,0,DM15/$Q53)</f>
        <v>0</v>
      </c>
      <c r="DN53" s="1243">
        <f ca="1">IF(DN15=0,0,DN15/$Q53)</f>
        <v>0</v>
      </c>
      <c r="DO53" s="1243">
        <f ca="1">IF(DO15=0,0,DO15/$Q53)</f>
        <v>0</v>
      </c>
      <c r="DP53" s="1243">
        <f>IF(DP15=0,0,DP15/$Q53)</f>
        <v>0</v>
      </c>
      <c r="DQ53" s="1243">
        <f>IF(DQ15=0,0,DQ15/$Q53)</f>
        <v>0</v>
      </c>
      <c r="DR53" s="1243">
        <f>IF(DR15=0,0,DR15/$Q53)</f>
        <v>0</v>
      </c>
      <c r="DS53" s="1243">
        <f>IF(DS15=0,0,DS15/$Q53)</f>
        <v>0</v>
      </c>
      <c r="DT53" s="1243">
        <f>IF(DT15=0,0,DT15/$Q53)</f>
        <v>0</v>
      </c>
      <c r="DU53" s="1243">
        <f>IF(DU15=0,0,DU15/$Q53)</f>
        <v>0</v>
      </c>
      <c r="DV53" s="1243">
        <f>IF(DV15=0,0,DV15/$Q53)</f>
        <v>0</v>
      </c>
      <c r="DW53" s="1243">
        <f>IF(DW15=0,0,DW15/$Q53)</f>
        <v>0</v>
      </c>
      <c r="DX53" s="1243"/>
    </row>
    <row r="54" spans="2:128" x14ac:dyDescent="0.3">
      <c r="B54" s="89" vm="194">
        <f ca="1"/>
        <v>45898</v>
      </c>
      <c r="C54" s="89" vm="195">
        <f ca="1"/>
        <v>636.6</v>
      </c>
      <c r="D54" s="1225">
        <f t="shared" ca="1" si="0"/>
        <v>-2.7051811095827501E-2</v>
      </c>
      <c r="E54" s="294" t="str" cm="1">
        <f t="array" aca="1" ref="E54" ca="1">_xlfn.IFS(D54&gt;ZPercent,"U",D54&lt;=-ZPercent,"D",TRUE,"Z")</f>
        <v>D</v>
      </c>
      <c r="F54" s="294" t="str">
        <f t="shared" ca="1" si="1"/>
        <v>DD</v>
      </c>
      <c r="G54" s="294" t="str">
        <f t="shared" ca="1" si="2"/>
        <v>UDD</v>
      </c>
      <c r="H54" s="874" t="str">
        <f t="shared" ca="1" si="3"/>
        <v/>
      </c>
      <c r="J54" s="89" vm="196">
        <f ca="1"/>
        <v>45728</v>
      </c>
      <c r="K54" s="89" vm="197">
        <f ca="1"/>
        <v>645.5</v>
      </c>
      <c r="N54" s="874" t="str">
        <f ca="1">IF(F54=[2]Sheet1!O52,"","dif")</f>
        <v>dif</v>
      </c>
      <c r="O54" s="1216"/>
      <c r="P54" s="1208" cm="1">
        <f t="array" aca="1" ref="P54" ca="1">IFERROR(INDEX($S54:$AT54,
       MATCH(TRUE,
             (($R54=Q50)*
              (RIGHT($S$47:$AT$47,3)=NewMUP)*
              ($S54:$AT54&gt;0))&gt;0,
       0)),0)</f>
        <v>0</v>
      </c>
      <c r="Q54" s="1305">
        <f ca="1">SUM(S16:INDEX(12:12, COLUMN($S16) +$R$47 - 1))</f>
        <v>61</v>
      </c>
      <c r="R54" s="1249" t="str">
        <f t="shared" ca="1" si="6"/>
        <v>UZU</v>
      </c>
      <c r="S54" s="1242">
        <f t="shared" ref="S54:AS54" ca="1" si="15">IF(S16=0,0,S16/$Q54)</f>
        <v>0</v>
      </c>
      <c r="T54" s="1243">
        <f t="shared" ca="1" si="15"/>
        <v>0</v>
      </c>
      <c r="U54" s="1243">
        <f t="shared" ca="1" si="15"/>
        <v>0</v>
      </c>
      <c r="V54" s="1243">
        <f t="shared" ca="1" si="15"/>
        <v>0</v>
      </c>
      <c r="W54" s="1243">
        <f t="shared" ca="1" si="15"/>
        <v>0</v>
      </c>
      <c r="X54" s="1243">
        <f t="shared" ca="1" si="15"/>
        <v>0.16393442622950818</v>
      </c>
      <c r="Y54" s="1243">
        <f t="shared" ca="1" si="15"/>
        <v>0</v>
      </c>
      <c r="Z54" s="1243">
        <f t="shared" ca="1" si="15"/>
        <v>0</v>
      </c>
      <c r="AA54" s="1243">
        <f t="shared" ca="1" si="15"/>
        <v>0</v>
      </c>
      <c r="AB54" s="1243">
        <f t="shared" ca="1" si="15"/>
        <v>0</v>
      </c>
      <c r="AC54" s="1243">
        <f t="shared" ca="1" si="15"/>
        <v>0</v>
      </c>
      <c r="AD54" s="1243">
        <f t="shared" ca="1" si="15"/>
        <v>4.9180327868852458E-2</v>
      </c>
      <c r="AE54" s="1243">
        <f t="shared" ca="1" si="15"/>
        <v>0</v>
      </c>
      <c r="AF54" s="1243">
        <f t="shared" ca="1" si="15"/>
        <v>0</v>
      </c>
      <c r="AG54" s="1243">
        <f t="shared" ca="1" si="15"/>
        <v>0</v>
      </c>
      <c r="AH54" s="1243">
        <f t="shared" ca="1" si="15"/>
        <v>0</v>
      </c>
      <c r="AI54" s="1243">
        <f t="shared" ca="1" si="15"/>
        <v>0</v>
      </c>
      <c r="AJ54" s="1243">
        <f t="shared" ca="1" si="15"/>
        <v>0</v>
      </c>
      <c r="AK54" s="1243">
        <f t="shared" ca="1" si="15"/>
        <v>0</v>
      </c>
      <c r="AL54" s="1243">
        <f t="shared" ca="1" si="15"/>
        <v>0</v>
      </c>
      <c r="AM54" s="1243">
        <f t="shared" ca="1" si="15"/>
        <v>0</v>
      </c>
      <c r="AN54" s="1243">
        <f t="shared" ca="1" si="15"/>
        <v>0</v>
      </c>
      <c r="AO54" s="1243">
        <f t="shared" ca="1" si="15"/>
        <v>0</v>
      </c>
      <c r="AP54" s="1243">
        <f t="shared" ca="1" si="15"/>
        <v>0</v>
      </c>
      <c r="AQ54" s="1243">
        <f t="shared" ca="1" si="15"/>
        <v>0</v>
      </c>
      <c r="AR54" s="1243">
        <f t="shared" ca="1" si="15"/>
        <v>0</v>
      </c>
      <c r="AS54" s="1243">
        <f t="shared" ca="1" si="15"/>
        <v>0</v>
      </c>
      <c r="AT54" s="1243">
        <f t="shared" ca="1" si="10"/>
        <v>0</v>
      </c>
      <c r="AU54" s="1243"/>
      <c r="AV54" s="1243"/>
      <c r="AW54" s="1243"/>
      <c r="AX54" s="1243"/>
      <c r="AZ54" s="1243"/>
      <c r="CP54" s="1208" cm="1">
        <f t="array" aca="1" ref="CP54" ca="1">IFERROR(INDEX($CR54:$DU54,
       MATCH(TRUE,
             (($CR54=CQ$43)*
              (RIGHT($CS$47:$DU$47,3)=NewMUP)*
              ($CR54:$DU54&gt;0))&gt;0,
       0)),0)</f>
        <v>0</v>
      </c>
      <c r="CQ54" s="1305">
        <f ca="1">SUM(CS16:INDEX(12:12, COLUMN($CS16) +$CR$47 - 1))</f>
        <v>8</v>
      </c>
      <c r="CR54" s="1217" t="str">
        <f t="shared" ca="1" si="8"/>
        <v>UZU</v>
      </c>
      <c r="CS54" s="1243">
        <f ca="1">IF(CS16=0,0,CS16/$Q54)</f>
        <v>0</v>
      </c>
      <c r="CT54" s="1243">
        <f ca="1">IF(CT16=0,0,CT16/$Q54)</f>
        <v>0</v>
      </c>
      <c r="CU54" s="1243">
        <f ca="1">IF(CU16=0,0,CU16/$Q54)</f>
        <v>0</v>
      </c>
      <c r="CV54" s="1243">
        <f ca="1">IF(CV16=0,0,CV16/$Q54)</f>
        <v>0</v>
      </c>
      <c r="CW54" s="1243">
        <f ca="1">IF(CW16=0,0,CW16/$Q54)</f>
        <v>0</v>
      </c>
      <c r="CX54" s="1243">
        <f ca="1">IF(CX16=0,0,CX16/$Q54)</f>
        <v>3.2786885245901641E-2</v>
      </c>
      <c r="CY54" s="1243">
        <f ca="1">IF(CY16=0,0,CY16/$Q54)</f>
        <v>0</v>
      </c>
      <c r="CZ54" s="1243">
        <f ca="1">IF(CZ16=0,0,CZ16/$Q54)</f>
        <v>0</v>
      </c>
      <c r="DA54" s="1243">
        <f ca="1">IF(DA16=0,0,DA16/$Q54)</f>
        <v>0</v>
      </c>
      <c r="DB54" s="1243">
        <f ca="1">IF(DB16=0,0,DB16/$Q54)</f>
        <v>0</v>
      </c>
      <c r="DC54" s="1243">
        <f ca="1">IF(DC16=0,0,DC16/$Q54)</f>
        <v>0</v>
      </c>
      <c r="DD54" s="1243">
        <f ca="1">IF(DD16=0,0,DD16/$Q54)</f>
        <v>1.6393442622950821E-2</v>
      </c>
      <c r="DE54" s="1243">
        <f ca="1">IF(DE16=0,0,DE16/$Q54)</f>
        <v>0</v>
      </c>
      <c r="DF54" s="1243">
        <f ca="1">IF(DF16=0,0,DF16/$Q54)</f>
        <v>0</v>
      </c>
      <c r="DG54" s="1243">
        <f ca="1">IF(DG16=0,0,DG16/$Q54)</f>
        <v>0</v>
      </c>
      <c r="DH54" s="1243">
        <f ca="1">IF(DH16=0,0,DH16/$Q54)</f>
        <v>0</v>
      </c>
      <c r="DI54" s="1243">
        <f ca="1">IF(DI16=0,0,DI16/$Q54)</f>
        <v>0</v>
      </c>
      <c r="DJ54" s="1243">
        <f ca="1">IF(DJ16=0,0,DJ16/$Q54)</f>
        <v>0</v>
      </c>
      <c r="DK54" s="1243">
        <f ca="1">IF(DK16=0,0,DK16/$Q54)</f>
        <v>0</v>
      </c>
      <c r="DL54" s="1243">
        <f ca="1">IF(DL16=0,0,DL16/$Q54)</f>
        <v>0</v>
      </c>
      <c r="DM54" s="1243">
        <f ca="1">IF(DM16=0,0,DM16/$Q54)</f>
        <v>0</v>
      </c>
      <c r="DN54" s="1243">
        <f ca="1">IF(DN16=0,0,DN16/$Q54)</f>
        <v>0</v>
      </c>
      <c r="DO54" s="1243">
        <f ca="1">IF(DO16=0,0,DO16/$Q54)</f>
        <v>0</v>
      </c>
      <c r="DP54" s="1243">
        <f>IF(DP16=0,0,DP16/$Q54)</f>
        <v>0</v>
      </c>
      <c r="DQ54" s="1243">
        <f>IF(DQ16=0,0,DQ16/$Q54)</f>
        <v>0</v>
      </c>
      <c r="DR54" s="1243">
        <f>IF(DR16=0,0,DR16/$Q54)</f>
        <v>0</v>
      </c>
      <c r="DS54" s="1243">
        <f>IF(DS16=0,0,DS16/$Q54)</f>
        <v>0</v>
      </c>
      <c r="DT54" s="1243">
        <f>IF(DT16=0,0,DT16/$Q54)</f>
        <v>0</v>
      </c>
      <c r="DU54" s="1243">
        <f>IF(DU16=0,0,DU16/$Q54)</f>
        <v>0</v>
      </c>
      <c r="DV54" s="1243">
        <f>IF(DV16=0,0,DV16/$Q54)</f>
        <v>0</v>
      </c>
      <c r="DW54" s="1243">
        <f>IF(DW16=0,0,DW16/$Q54)</f>
        <v>0</v>
      </c>
      <c r="DX54" s="1243"/>
    </row>
    <row r="55" spans="2:128" x14ac:dyDescent="0.3">
      <c r="B55" s="89" vm="198">
        <f ca="1"/>
        <v>45897</v>
      </c>
      <c r="C55" s="89" vm="199">
        <f ca="1"/>
        <v>654.29999999999995</v>
      </c>
      <c r="D55" s="1225">
        <f t="shared" ca="1" si="0"/>
        <v>-8.9366858527720246E-3</v>
      </c>
      <c r="E55" s="294" t="str" cm="1">
        <f t="array" aca="1" ref="E55" ca="1">_xlfn.IFS(D55&gt;ZPercent,"U",D55&lt;=-ZPercent,"D",TRUE,"Z")</f>
        <v>D</v>
      </c>
      <c r="F55" s="294" t="str">
        <f t="shared" ca="1" si="1"/>
        <v>UD</v>
      </c>
      <c r="G55" s="294" t="str">
        <f t="shared" ca="1" si="2"/>
        <v>UUD</v>
      </c>
      <c r="H55" s="874" t="str">
        <f t="shared" ca="1" si="3"/>
        <v/>
      </c>
      <c r="J55" s="89" vm="200">
        <f ca="1"/>
        <v>45729</v>
      </c>
      <c r="K55" s="89" vm="201">
        <f ca="1"/>
        <v>642.4</v>
      </c>
      <c r="N55" s="874" t="str">
        <f ca="1">IF(F55=[2]Sheet1!O53,"","dif")</f>
        <v>dif</v>
      </c>
      <c r="O55" s="1216"/>
      <c r="P55" s="1208" cm="1">
        <f t="array" aca="1" ref="P55" ca="1">IFERROR(INDEX($S55:$AT55,
       MATCH(TRUE,
             (($R55=Q51)*
              (RIGHT($S$47:$AT$47,3)=NewMUP)*
              ($S55:$AT55&gt;0))&gt;0,
       0)),0)</f>
        <v>0</v>
      </c>
      <c r="Q55" s="1305">
        <f ca="1">SUM(S17:INDEX(13:13, COLUMN($S17) +$R$47 - 1))</f>
        <v>57</v>
      </c>
      <c r="R55" s="1249" t="str">
        <f t="shared" ca="1" si="6"/>
        <v>UUZ</v>
      </c>
      <c r="S55" s="1242">
        <f t="shared" ref="S55:AS55" ca="1" si="16">IF(S17=0,0,S17/$Q55)</f>
        <v>0</v>
      </c>
      <c r="T55" s="1243">
        <f t="shared" ca="1" si="16"/>
        <v>0</v>
      </c>
      <c r="U55" s="1243">
        <f t="shared" ca="1" si="16"/>
        <v>0</v>
      </c>
      <c r="V55" s="1243">
        <f t="shared" ca="1" si="16"/>
        <v>0</v>
      </c>
      <c r="W55" s="1243">
        <f t="shared" ca="1" si="16"/>
        <v>0</v>
      </c>
      <c r="X55" s="1243">
        <f t="shared" ca="1" si="16"/>
        <v>0</v>
      </c>
      <c r="Y55" s="1243">
        <f t="shared" ca="1" si="16"/>
        <v>0.12280701754385964</v>
      </c>
      <c r="Z55" s="1243">
        <f t="shared" ca="1" si="16"/>
        <v>0</v>
      </c>
      <c r="AA55" s="1243">
        <f t="shared" ca="1" si="16"/>
        <v>0</v>
      </c>
      <c r="AB55" s="1243">
        <f t="shared" ca="1" si="16"/>
        <v>0</v>
      </c>
      <c r="AC55" s="1243">
        <f t="shared" ca="1" si="16"/>
        <v>0</v>
      </c>
      <c r="AD55" s="1243">
        <f t="shared" ca="1" si="16"/>
        <v>0</v>
      </c>
      <c r="AE55" s="1243">
        <f t="shared" ca="1" si="16"/>
        <v>0</v>
      </c>
      <c r="AF55" s="1243">
        <f t="shared" ca="1" si="16"/>
        <v>0</v>
      </c>
      <c r="AG55" s="1243">
        <f t="shared" ca="1" si="16"/>
        <v>0</v>
      </c>
      <c r="AH55" s="1243">
        <f t="shared" ca="1" si="16"/>
        <v>0</v>
      </c>
      <c r="AI55" s="1243">
        <f t="shared" ca="1" si="16"/>
        <v>0</v>
      </c>
      <c r="AJ55" s="1243">
        <f t="shared" ca="1" si="16"/>
        <v>0</v>
      </c>
      <c r="AK55" s="1243">
        <f t="shared" ca="1" si="16"/>
        <v>0</v>
      </c>
      <c r="AL55" s="1243">
        <f t="shared" ca="1" si="16"/>
        <v>0</v>
      </c>
      <c r="AM55" s="1243">
        <f t="shared" ca="1" si="16"/>
        <v>0</v>
      </c>
      <c r="AN55" s="1243">
        <f t="shared" ca="1" si="16"/>
        <v>0</v>
      </c>
      <c r="AO55" s="1243">
        <f t="shared" ca="1" si="16"/>
        <v>8.771929824561403E-2</v>
      </c>
      <c r="AP55" s="1243">
        <f t="shared" ca="1" si="16"/>
        <v>0</v>
      </c>
      <c r="AQ55" s="1243">
        <f t="shared" ca="1" si="16"/>
        <v>0</v>
      </c>
      <c r="AR55" s="1243">
        <f t="shared" ca="1" si="16"/>
        <v>0</v>
      </c>
      <c r="AS55" s="1243">
        <f t="shared" ca="1" si="16"/>
        <v>0</v>
      </c>
      <c r="AT55" s="1243">
        <f t="shared" ca="1" si="10"/>
        <v>0</v>
      </c>
      <c r="AU55" s="1243"/>
      <c r="AV55" s="1243"/>
      <c r="AW55" s="1243"/>
      <c r="AX55" s="1243"/>
      <c r="AZ55" s="1243"/>
      <c r="CP55" s="1208" cm="1">
        <f t="array" aca="1" ref="CP55" ca="1">IFERROR(INDEX($CR55:$DU55,
       MATCH(TRUE,
             (($CR55=CQ$43)*
              (RIGHT($CS$47:$DU$47,3)=NewMUP)*
              ($CR55:$DU55&gt;0))&gt;0,
       0)),0)</f>
        <v>0</v>
      </c>
      <c r="CQ55" s="1305">
        <f ca="1">SUM(CS17:INDEX(13:13, COLUMN($CS17) +$CR$47 - 1))</f>
        <v>9</v>
      </c>
      <c r="CR55" s="1217" t="str">
        <f t="shared" ca="1" si="8"/>
        <v>UUZ</v>
      </c>
      <c r="CS55" s="1243">
        <f ca="1">IF(CS17=0,0,CS17/$Q55)</f>
        <v>0</v>
      </c>
      <c r="CT55" s="1243">
        <f ca="1">IF(CT17=0,0,CT17/$Q55)</f>
        <v>0</v>
      </c>
      <c r="CU55" s="1243">
        <f ca="1">IF(CU17=0,0,CU17/$Q55)</f>
        <v>0</v>
      </c>
      <c r="CV55" s="1243">
        <f ca="1">IF(CV17=0,0,CV17/$Q55)</f>
        <v>0</v>
      </c>
      <c r="CW55" s="1243">
        <f ca="1">IF(CW17=0,0,CW17/$Q55)</f>
        <v>0</v>
      </c>
      <c r="CX55" s="1243">
        <f ca="1">IF(CX17=0,0,CX17/$Q55)</f>
        <v>0</v>
      </c>
      <c r="CY55" s="1243">
        <f ca="1">IF(CY17=0,0,CY17/$Q55)</f>
        <v>3.5087719298245612E-2</v>
      </c>
      <c r="CZ55" s="1243">
        <f ca="1">IF(CZ17=0,0,CZ17/$Q55)</f>
        <v>0</v>
      </c>
      <c r="DA55" s="1243">
        <f ca="1">IF(DA17=0,0,DA17/$Q55)</f>
        <v>0</v>
      </c>
      <c r="DB55" s="1243">
        <f ca="1">IF(DB17=0,0,DB17/$Q55)</f>
        <v>0</v>
      </c>
      <c r="DC55" s="1243">
        <f ca="1">IF(DC17=0,0,DC17/$Q55)</f>
        <v>0</v>
      </c>
      <c r="DD55" s="1243">
        <f ca="1">IF(DD17=0,0,DD17/$Q55)</f>
        <v>0</v>
      </c>
      <c r="DE55" s="1243">
        <f ca="1">IF(DE17=0,0,DE17/$Q55)</f>
        <v>0</v>
      </c>
      <c r="DF55" s="1243">
        <f ca="1">IF(DF17=0,0,DF17/$Q55)</f>
        <v>0</v>
      </c>
      <c r="DG55" s="1243">
        <f ca="1">IF(DG17=0,0,DG17/$Q55)</f>
        <v>0</v>
      </c>
      <c r="DH55" s="1243">
        <f ca="1">IF(DH17=0,0,DH17/$Q55)</f>
        <v>0</v>
      </c>
      <c r="DI55" s="1243">
        <f ca="1">IF(DI17=0,0,DI17/$Q55)</f>
        <v>0</v>
      </c>
      <c r="DJ55" s="1243">
        <f ca="1">IF(DJ17=0,0,DJ17/$Q55)</f>
        <v>0</v>
      </c>
      <c r="DK55" s="1243">
        <f ca="1">IF(DK17=0,0,DK17/$Q55)</f>
        <v>0</v>
      </c>
      <c r="DL55" s="1243">
        <f ca="1">IF(DL17=0,0,DL17/$Q55)</f>
        <v>0</v>
      </c>
      <c r="DM55" s="1243">
        <f ca="1">IF(DM17=0,0,DM17/$Q55)</f>
        <v>0</v>
      </c>
      <c r="DN55" s="1243">
        <f ca="1">IF(DN17=0,0,DN17/$Q55)</f>
        <v>0</v>
      </c>
      <c r="DO55" s="1243">
        <f ca="1">IF(DO17=0,0,DO17/$Q55)</f>
        <v>0</v>
      </c>
      <c r="DP55" s="1243">
        <f>IF(DP17=0,0,DP17/$Q55)</f>
        <v>0</v>
      </c>
      <c r="DQ55" s="1243">
        <f>IF(DQ17=0,0,DQ17/$Q55)</f>
        <v>0</v>
      </c>
      <c r="DR55" s="1243">
        <f>IF(DR17=0,0,DR17/$Q55)</f>
        <v>0</v>
      </c>
      <c r="DS55" s="1243">
        <f>IF(DS17=0,0,DS17/$Q55)</f>
        <v>0</v>
      </c>
      <c r="DT55" s="1243">
        <f>IF(DT17=0,0,DT17/$Q55)</f>
        <v>0</v>
      </c>
      <c r="DU55" s="1243">
        <f>IF(DU17=0,0,DU17/$Q55)</f>
        <v>0</v>
      </c>
      <c r="DV55" s="1243">
        <f>IF(DV17=0,0,DV17/$Q55)</f>
        <v>0</v>
      </c>
      <c r="DW55" s="1243">
        <f>IF(DW17=0,0,DW17/$Q55)</f>
        <v>0</v>
      </c>
      <c r="DX55" s="1243"/>
    </row>
    <row r="56" spans="2:128" x14ac:dyDescent="0.3">
      <c r="B56" s="89" vm="202">
        <f ca="1"/>
        <v>45896</v>
      </c>
      <c r="C56" s="89" vm="175">
        <f ca="1"/>
        <v>660.2</v>
      </c>
      <c r="D56" s="1225">
        <f t="shared" ca="1" si="0"/>
        <v>1.4755610205963761E-2</v>
      </c>
      <c r="E56" s="294" t="str" cm="1">
        <f t="array" aca="1" ref="E56" ca="1">_xlfn.IFS(D56&gt;ZPercent,"U",D56&lt;=-ZPercent,"D",TRUE,"Z")</f>
        <v>U</v>
      </c>
      <c r="F56" s="294" t="str">
        <f t="shared" ca="1" si="1"/>
        <v>UU</v>
      </c>
      <c r="G56" s="294" t="str">
        <f t="shared" ca="1" si="2"/>
        <v>ZUU</v>
      </c>
      <c r="H56" s="874" t="str">
        <f t="shared" ca="1" si="3"/>
        <v/>
      </c>
      <c r="J56" s="89" vm="203">
        <f ca="1"/>
        <v>45730</v>
      </c>
      <c r="K56" s="89" vm="204">
        <f ca="1"/>
        <v>655.7</v>
      </c>
      <c r="N56" s="874" t="str">
        <f ca="1">IF(F56=[2]Sheet1!O54,"","dif")</f>
        <v>dif</v>
      </c>
      <c r="O56" s="1216"/>
      <c r="P56" s="1208" cm="1">
        <f t="array" aca="1" ref="P56" ca="1">IFERROR(INDEX($S56:$AT56,
       MATCH(TRUE,
             (($R56=Q52)*
              (RIGHT($S$47:$AT$47,3)=NewMUP)*
              ($S56:$AT56&gt;0))&gt;0,
       0)),0)</f>
        <v>0</v>
      </c>
      <c r="Q56" s="1305">
        <f ca="1">SUM(S18:INDEX(14:14, COLUMN($S18) +$R$47 - 1))</f>
        <v>60</v>
      </c>
      <c r="R56" s="1249" t="str">
        <f t="shared" ca="1" si="6"/>
        <v>UUU</v>
      </c>
      <c r="S56" s="1242">
        <f t="shared" ref="S56:AS56" ca="1" si="17">IF(S18=0,0,S18/$Q56)</f>
        <v>0</v>
      </c>
      <c r="T56" s="1243">
        <f t="shared" ca="1" si="17"/>
        <v>0</v>
      </c>
      <c r="U56" s="1243">
        <f t="shared" ca="1" si="17"/>
        <v>0</v>
      </c>
      <c r="V56" s="1243">
        <f t="shared" ca="1" si="17"/>
        <v>0</v>
      </c>
      <c r="W56" s="1243">
        <f t="shared" ca="1" si="17"/>
        <v>3.3333333333333333E-2</v>
      </c>
      <c r="X56" s="1243">
        <f t="shared" ca="1" si="17"/>
        <v>0</v>
      </c>
      <c r="Y56" s="1243">
        <f t="shared" ca="1" si="17"/>
        <v>0</v>
      </c>
      <c r="Z56" s="1243">
        <f t="shared" ca="1" si="17"/>
        <v>8.3333333333333329E-2</v>
      </c>
      <c r="AA56" s="1243">
        <f t="shared" ca="1" si="17"/>
        <v>0.11666666666666667</v>
      </c>
      <c r="AB56" s="1243">
        <f t="shared" ca="1" si="17"/>
        <v>0</v>
      </c>
      <c r="AC56" s="1243">
        <f t="shared" ca="1" si="17"/>
        <v>0</v>
      </c>
      <c r="AD56" s="1243">
        <f t="shared" ca="1" si="17"/>
        <v>0</v>
      </c>
      <c r="AE56" s="1243">
        <f t="shared" ca="1" si="17"/>
        <v>0</v>
      </c>
      <c r="AF56" s="1243">
        <f t="shared" ca="1" si="17"/>
        <v>0</v>
      </c>
      <c r="AG56" s="1243">
        <f t="shared" ca="1" si="17"/>
        <v>0</v>
      </c>
      <c r="AH56" s="1243">
        <f t="shared" ca="1" si="17"/>
        <v>0</v>
      </c>
      <c r="AI56" s="1243">
        <f t="shared" ca="1" si="17"/>
        <v>0</v>
      </c>
      <c r="AJ56" s="1243">
        <f t="shared" ca="1" si="17"/>
        <v>0</v>
      </c>
      <c r="AK56" s="1243">
        <f t="shared" ca="1" si="17"/>
        <v>0</v>
      </c>
      <c r="AL56" s="1243">
        <f t="shared" ca="1" si="17"/>
        <v>0</v>
      </c>
      <c r="AM56" s="1243">
        <f t="shared" ca="1" si="17"/>
        <v>0</v>
      </c>
      <c r="AN56" s="1243">
        <f t="shared" ca="1" si="17"/>
        <v>0</v>
      </c>
      <c r="AO56" s="1243">
        <f t="shared" ca="1" si="17"/>
        <v>0</v>
      </c>
      <c r="AP56" s="1243">
        <f t="shared" ca="1" si="17"/>
        <v>0</v>
      </c>
      <c r="AQ56" s="1243">
        <f t="shared" ca="1" si="17"/>
        <v>0</v>
      </c>
      <c r="AR56" s="1243">
        <f t="shared" ca="1" si="17"/>
        <v>0</v>
      </c>
      <c r="AS56" s="1243">
        <f t="shared" ca="1" si="17"/>
        <v>0</v>
      </c>
      <c r="AT56" s="1243">
        <f t="shared" ca="1" si="10"/>
        <v>0</v>
      </c>
      <c r="AU56" s="1243"/>
      <c r="AV56" s="1243"/>
      <c r="AW56" s="1243"/>
      <c r="AX56" s="1243"/>
      <c r="AZ56" s="1243"/>
      <c r="CP56" s="1208" cm="1">
        <f t="array" aca="1" ref="CP56" ca="1">IFERROR(INDEX($CR56:$DU56,
       MATCH(TRUE,
             (($CR56=CQ$43)*
              (RIGHT($CS$47:$DU$47,3)=NewMUP)*
              ($CR56:$DU56&gt;0))&gt;0,
       0)),0)</f>
        <v>0</v>
      </c>
      <c r="CQ56" s="1305">
        <f ca="1">SUM(CS18:INDEX(14:14, COLUMN($CS18) +$CR$47 - 1))</f>
        <v>9</v>
      </c>
      <c r="CR56" s="1217" t="str">
        <f t="shared" ca="1" si="8"/>
        <v>UUU</v>
      </c>
      <c r="CS56" s="1243">
        <f ca="1">IF(CS18=0,0,CS18/$Q56)</f>
        <v>0</v>
      </c>
      <c r="CT56" s="1243">
        <f ca="1">IF(CT18=0,0,CT18/$Q56)</f>
        <v>0</v>
      </c>
      <c r="CU56" s="1243">
        <f ca="1">IF(CU18=0,0,CU18/$Q56)</f>
        <v>0</v>
      </c>
      <c r="CV56" s="1243">
        <f ca="1">IF(CV18=0,0,CV18/$Q56)</f>
        <v>0</v>
      </c>
      <c r="CW56" s="1243">
        <f ca="1">IF(CW18=0,0,CW18/$Q56)</f>
        <v>0</v>
      </c>
      <c r="CX56" s="1243">
        <f ca="1">IF(CX18=0,0,CX18/$Q56)</f>
        <v>0</v>
      </c>
      <c r="CY56" s="1243">
        <f ca="1">IF(CY18=0,0,CY18/$Q56)</f>
        <v>0</v>
      </c>
      <c r="CZ56" s="1243">
        <f ca="1">IF(CZ18=0,0,CZ18/$Q56)</f>
        <v>1.6666666666666666E-2</v>
      </c>
      <c r="DA56" s="1243">
        <f ca="1">IF(DA18=0,0,DA18/$Q56)</f>
        <v>0</v>
      </c>
      <c r="DB56" s="1243">
        <f ca="1">IF(DB18=0,0,DB18/$Q56)</f>
        <v>0</v>
      </c>
      <c r="DC56" s="1243">
        <f ca="1">IF(DC18=0,0,DC18/$Q56)</f>
        <v>0</v>
      </c>
      <c r="DD56" s="1243">
        <f ca="1">IF(DD18=0,0,DD18/$Q56)</f>
        <v>0</v>
      </c>
      <c r="DE56" s="1243">
        <f ca="1">IF(DE18=0,0,DE18/$Q56)</f>
        <v>0</v>
      </c>
      <c r="DF56" s="1243">
        <f ca="1">IF(DF18=0,0,DF18/$Q56)</f>
        <v>0</v>
      </c>
      <c r="DG56" s="1243">
        <f ca="1">IF(DG18=0,0,DG18/$Q56)</f>
        <v>0</v>
      </c>
      <c r="DH56" s="1243">
        <f ca="1">IF(DH18=0,0,DH18/$Q56)</f>
        <v>0</v>
      </c>
      <c r="DI56" s="1243">
        <f ca="1">IF(DI18=0,0,DI18/$Q56)</f>
        <v>0</v>
      </c>
      <c r="DJ56" s="1243">
        <f ca="1">IF(DJ18=0,0,DJ18/$Q56)</f>
        <v>0</v>
      </c>
      <c r="DK56" s="1243">
        <f ca="1">IF(DK18=0,0,DK18/$Q56)</f>
        <v>0</v>
      </c>
      <c r="DL56" s="1243">
        <f ca="1">IF(DL18=0,0,DL18/$Q56)</f>
        <v>0</v>
      </c>
      <c r="DM56" s="1243">
        <f ca="1">IF(DM18=0,0,DM18/$Q56)</f>
        <v>0</v>
      </c>
      <c r="DN56" s="1243">
        <f ca="1">IF(DN18=0,0,DN18/$Q56)</f>
        <v>0</v>
      </c>
      <c r="DO56" s="1243">
        <f ca="1">IF(DO18=0,0,DO18/$Q56)</f>
        <v>0</v>
      </c>
      <c r="DP56" s="1243">
        <f>IF(DP18=0,0,DP18/$Q56)</f>
        <v>0</v>
      </c>
      <c r="DQ56" s="1243">
        <f>IF(DQ18=0,0,DQ18/$Q56)</f>
        <v>0</v>
      </c>
      <c r="DR56" s="1243">
        <f>IF(DR18=0,0,DR18/$Q56)</f>
        <v>0</v>
      </c>
      <c r="DS56" s="1243">
        <f>IF(DS18=0,0,DS18/$Q56)</f>
        <v>0</v>
      </c>
      <c r="DT56" s="1243">
        <f>IF(DT18=0,0,DT18/$Q56)</f>
        <v>0</v>
      </c>
      <c r="DU56" s="1243">
        <f>IF(DU18=0,0,DU18/$Q56)</f>
        <v>0</v>
      </c>
      <c r="DV56" s="1243">
        <f>IF(DV18=0,0,DV18/$Q56)</f>
        <v>0</v>
      </c>
      <c r="DW56" s="1243">
        <f>IF(DW18=0,0,DW18/$Q56)</f>
        <v>0</v>
      </c>
      <c r="DX56" s="1243"/>
    </row>
    <row r="57" spans="2:128" x14ac:dyDescent="0.3">
      <c r="B57" s="89" vm="205">
        <f ca="1"/>
        <v>45895</v>
      </c>
      <c r="C57" s="89" vm="206">
        <f ca="1"/>
        <v>650.6</v>
      </c>
      <c r="D57" s="1225">
        <f t="shared" ca="1" si="0"/>
        <v>6.0306169785062274E-3</v>
      </c>
      <c r="E57" s="294" t="str" cm="1">
        <f t="array" aca="1" ref="E57" ca="1">_xlfn.IFS(D57&gt;ZPercent,"U",D57&lt;=-ZPercent,"D",TRUE,"Z")</f>
        <v>U</v>
      </c>
      <c r="F57" s="294" t="str">
        <f t="shared" ca="1" si="1"/>
        <v>ZU</v>
      </c>
      <c r="G57" s="294" t="str">
        <f t="shared" ca="1" si="2"/>
        <v>UZU</v>
      </c>
      <c r="H57" s="874" t="str">
        <f t="shared" ca="1" si="3"/>
        <v/>
      </c>
      <c r="J57" s="89" vm="207">
        <f ca="1"/>
        <v>45733</v>
      </c>
      <c r="K57" s="89" vm="208">
        <f ca="1"/>
        <v>661.3</v>
      </c>
      <c r="N57" s="874" t="str">
        <f ca="1">IF(F57=[2]Sheet1!O55,"","dif")</f>
        <v>dif</v>
      </c>
      <c r="O57" s="1216"/>
      <c r="P57" s="1208" cm="1">
        <f t="array" aca="1" ref="P57" ca="1">IFERROR(INDEX($S57:$AT57,
       MATCH(TRUE,
             (($R57=Q53)*
              (RIGHT($S$47:$AT$47,3)=NewMUP)*
              ($S57:$AT57&gt;0))&gt;0,
       0)),0)</f>
        <v>0</v>
      </c>
      <c r="Q57" s="1305">
        <f ca="1">SUM(S19:INDEX(15:15, COLUMN($S19) +$R$47 - 1))</f>
        <v>61</v>
      </c>
      <c r="R57" s="1249" t="str">
        <f t="shared" ca="1" si="6"/>
        <v>DUU</v>
      </c>
      <c r="S57" s="1242">
        <f t="shared" ref="S57:AS57" ca="1" si="18">IF(S19=0,0,S19/$Q57)</f>
        <v>0</v>
      </c>
      <c r="T57" s="1243">
        <f t="shared" ca="1" si="18"/>
        <v>0</v>
      </c>
      <c r="U57" s="1243">
        <f t="shared" ca="1" si="18"/>
        <v>0</v>
      </c>
      <c r="V57" s="1243">
        <f t="shared" ca="1" si="18"/>
        <v>0</v>
      </c>
      <c r="W57" s="1243">
        <f t="shared" ca="1" si="18"/>
        <v>6.5573770491803282E-2</v>
      </c>
      <c r="X57" s="1243">
        <f t="shared" ca="1" si="18"/>
        <v>0</v>
      </c>
      <c r="Y57" s="1243">
        <f t="shared" ca="1" si="18"/>
        <v>0</v>
      </c>
      <c r="Z57" s="1243">
        <f t="shared" ca="1" si="18"/>
        <v>4.9180327868852458E-2</v>
      </c>
      <c r="AA57" s="1243">
        <f t="shared" ca="1" si="18"/>
        <v>6.5573770491803282E-2</v>
      </c>
      <c r="AB57" s="1243">
        <f t="shared" ca="1" si="18"/>
        <v>0</v>
      </c>
      <c r="AC57" s="1243">
        <f t="shared" ca="1" si="18"/>
        <v>0</v>
      </c>
      <c r="AD57" s="1243">
        <f t="shared" ca="1" si="18"/>
        <v>0</v>
      </c>
      <c r="AE57" s="1243">
        <f t="shared" ca="1" si="18"/>
        <v>0</v>
      </c>
      <c r="AF57" s="1243">
        <f t="shared" ca="1" si="18"/>
        <v>0</v>
      </c>
      <c r="AG57" s="1243">
        <f t="shared" ca="1" si="18"/>
        <v>0</v>
      </c>
      <c r="AH57" s="1243">
        <f t="shared" ca="1" si="18"/>
        <v>0</v>
      </c>
      <c r="AI57" s="1243">
        <f t="shared" ca="1" si="18"/>
        <v>0</v>
      </c>
      <c r="AJ57" s="1243">
        <f t="shared" ca="1" si="18"/>
        <v>0</v>
      </c>
      <c r="AK57" s="1243">
        <f t="shared" ca="1" si="18"/>
        <v>0</v>
      </c>
      <c r="AL57" s="1243">
        <f t="shared" ca="1" si="18"/>
        <v>0</v>
      </c>
      <c r="AM57" s="1243">
        <f t="shared" ca="1" si="18"/>
        <v>0</v>
      </c>
      <c r="AN57" s="1243">
        <f t="shared" ca="1" si="18"/>
        <v>0</v>
      </c>
      <c r="AO57" s="1243">
        <f t="shared" ca="1" si="18"/>
        <v>0</v>
      </c>
      <c r="AP57" s="1243">
        <f t="shared" ca="1" si="18"/>
        <v>0</v>
      </c>
      <c r="AQ57" s="1243">
        <f t="shared" ca="1" si="18"/>
        <v>0</v>
      </c>
      <c r="AR57" s="1243">
        <f t="shared" ca="1" si="18"/>
        <v>0</v>
      </c>
      <c r="AS57" s="1243">
        <f t="shared" ca="1" si="18"/>
        <v>0</v>
      </c>
      <c r="AT57" s="1243">
        <f t="shared" ca="1" si="10"/>
        <v>0</v>
      </c>
      <c r="AU57" s="1243"/>
      <c r="AV57" s="1243"/>
      <c r="AW57" s="1243"/>
      <c r="AX57" s="1243"/>
      <c r="AZ57" s="1243"/>
      <c r="CP57" s="1208" cm="1">
        <f t="array" aca="1" ref="CP57" ca="1">IFERROR(INDEX($CR57:$DU57,
       MATCH(TRUE,
             (($CR57=CQ$43)*
              (RIGHT($CS$47:$DU$47,3)=NewMUP)*
              ($CR57:$DU57&gt;0))&gt;0,
       0)),0)</f>
        <v>0</v>
      </c>
      <c r="CQ57" s="1305">
        <f ca="1">SUM(CS19:INDEX(15:15, COLUMN($CS19) +$CR$47 - 1))</f>
        <v>9</v>
      </c>
      <c r="CR57" s="1217" t="str">
        <f t="shared" ca="1" si="8"/>
        <v>DUU</v>
      </c>
      <c r="CS57" s="1243">
        <f ca="1">IF(CS19=0,0,CS19/$Q57)</f>
        <v>0</v>
      </c>
      <c r="CT57" s="1243">
        <f ca="1">IF(CT19=0,0,CT19/$Q57)</f>
        <v>0</v>
      </c>
      <c r="CU57" s="1243">
        <f ca="1">IF(CU19=0,0,CU19/$Q57)</f>
        <v>0</v>
      </c>
      <c r="CV57" s="1243">
        <f ca="1">IF(CV19=0,0,CV19/$Q57)</f>
        <v>0</v>
      </c>
      <c r="CW57" s="1243">
        <f ca="1">IF(CW19=0,0,CW19/$Q57)</f>
        <v>0</v>
      </c>
      <c r="CX57" s="1243">
        <f ca="1">IF(CX19=0,0,CX19/$Q57)</f>
        <v>0</v>
      </c>
      <c r="CY57" s="1243">
        <f ca="1">IF(CY19=0,0,CY19/$Q57)</f>
        <v>0</v>
      </c>
      <c r="CZ57" s="1243">
        <f ca="1">IF(CZ19=0,0,CZ19/$Q57)</f>
        <v>0</v>
      </c>
      <c r="DA57" s="1243">
        <f ca="1">IF(DA19=0,0,DA19/$Q57)</f>
        <v>1.6393442622950821E-2</v>
      </c>
      <c r="DB57" s="1243">
        <f ca="1">IF(DB19=0,0,DB19/$Q57)</f>
        <v>0</v>
      </c>
      <c r="DC57" s="1243">
        <f ca="1">IF(DC19=0,0,DC19/$Q57)</f>
        <v>0</v>
      </c>
      <c r="DD57" s="1243">
        <f ca="1">IF(DD19=0,0,DD19/$Q57)</f>
        <v>0</v>
      </c>
      <c r="DE57" s="1243">
        <f ca="1">IF(DE19=0,0,DE19/$Q57)</f>
        <v>0</v>
      </c>
      <c r="DF57" s="1243">
        <f ca="1">IF(DF19=0,0,DF19/$Q57)</f>
        <v>0</v>
      </c>
      <c r="DG57" s="1243">
        <f ca="1">IF(DG19=0,0,DG19/$Q57)</f>
        <v>0</v>
      </c>
      <c r="DH57" s="1243">
        <f ca="1">IF(DH19=0,0,DH19/$Q57)</f>
        <v>0</v>
      </c>
      <c r="DI57" s="1243">
        <f ca="1">IF(DI19=0,0,DI19/$Q57)</f>
        <v>0</v>
      </c>
      <c r="DJ57" s="1243">
        <f ca="1">IF(DJ19=0,0,DJ19/$Q57)</f>
        <v>0</v>
      </c>
      <c r="DK57" s="1243">
        <f ca="1">IF(DK19=0,0,DK19/$Q57)</f>
        <v>0</v>
      </c>
      <c r="DL57" s="1243">
        <f ca="1">IF(DL19=0,0,DL19/$Q57)</f>
        <v>0</v>
      </c>
      <c r="DM57" s="1243">
        <f ca="1">IF(DM19=0,0,DM19/$Q57)</f>
        <v>0</v>
      </c>
      <c r="DN57" s="1243">
        <f ca="1">IF(DN19=0,0,DN19/$Q57)</f>
        <v>0</v>
      </c>
      <c r="DO57" s="1243">
        <f ca="1">IF(DO19=0,0,DO19/$Q57)</f>
        <v>0</v>
      </c>
      <c r="DP57" s="1243">
        <f>IF(DP19=0,0,DP19/$Q57)</f>
        <v>0</v>
      </c>
      <c r="DQ57" s="1243">
        <f>IF(DQ19=0,0,DQ19/$Q57)</f>
        <v>0</v>
      </c>
      <c r="DR57" s="1243">
        <f>IF(DR19=0,0,DR19/$Q57)</f>
        <v>0</v>
      </c>
      <c r="DS57" s="1243">
        <f>IF(DS19=0,0,DS19/$Q57)</f>
        <v>0</v>
      </c>
      <c r="DT57" s="1243">
        <f>IF(DT19=0,0,DT19/$Q57)</f>
        <v>0</v>
      </c>
      <c r="DU57" s="1243">
        <f>IF(DU19=0,0,DU19/$Q57)</f>
        <v>0</v>
      </c>
      <c r="DV57" s="1243">
        <f>IF(DV19=0,0,DV19/$Q57)</f>
        <v>0</v>
      </c>
      <c r="DW57" s="1243">
        <f>IF(DW19=0,0,DW19/$Q57)</f>
        <v>0</v>
      </c>
      <c r="DX57" s="1243"/>
    </row>
    <row r="58" spans="2:128" x14ac:dyDescent="0.3">
      <c r="B58" s="89" vm="209">
        <f ca="1"/>
        <v>45894</v>
      </c>
      <c r="C58" s="89" vm="210">
        <f ca="1"/>
        <v>646.70000000000005</v>
      </c>
      <c r="D58" s="1225">
        <f t="shared" ca="1" si="0"/>
        <v>7.7375425564840596E-4</v>
      </c>
      <c r="E58" s="294" t="str" cm="1">
        <f t="array" aca="1" ref="E58" ca="1">_xlfn.IFS(D58&gt;ZPercent,"U",D58&lt;=-ZPercent,"D",TRUE,"Z")</f>
        <v>Z</v>
      </c>
      <c r="F58" s="294" t="str">
        <f t="shared" ca="1" si="1"/>
        <v>UZ</v>
      </c>
      <c r="G58" s="294" t="str">
        <f t="shared" ca="1" si="2"/>
        <v>DUZ</v>
      </c>
      <c r="H58" s="874" t="str">
        <f t="shared" ca="1" si="3"/>
        <v/>
      </c>
      <c r="J58" s="89" vm="211">
        <f ca="1"/>
        <v>45734</v>
      </c>
      <c r="K58" s="89" vm="212">
        <f ca="1"/>
        <v>665.9</v>
      </c>
      <c r="N58" s="874" t="str">
        <f ca="1">IF(F58=[2]Sheet1!O56,"","dif")</f>
        <v/>
      </c>
      <c r="O58" s="1216"/>
      <c r="P58" s="1208" cm="1">
        <f t="array" aca="1" ref="P58" ca="1">IFERROR(INDEX($S58:$AT58,
       MATCH(TRUE,
             (($R58=Q54)*
              (RIGHT($S$47:$AT$47,3)=NewMUP)*
              ($S58:$AT58&gt;0))&gt;0,
       0)),0)</f>
        <v>0</v>
      </c>
      <c r="Q58" s="1305">
        <f ca="1">SUM(S20:INDEX(16:16, COLUMN($S20) +$R$47 - 1))</f>
        <v>65</v>
      </c>
      <c r="R58" s="1249" t="str">
        <f t="shared" ca="1" si="6"/>
        <v>DDU</v>
      </c>
      <c r="S58" s="1242">
        <f t="shared" ref="S58:AS58" ca="1" si="19">IF(S20=0,0,S20/$Q58)</f>
        <v>0</v>
      </c>
      <c r="T58" s="1243">
        <f t="shared" ca="1" si="19"/>
        <v>0</v>
      </c>
      <c r="U58" s="1243">
        <f t="shared" ca="1" si="19"/>
        <v>7.6923076923076927E-2</v>
      </c>
      <c r="V58" s="1243">
        <f t="shared" ca="1" si="19"/>
        <v>0</v>
      </c>
      <c r="W58" s="1243">
        <f t="shared" ca="1" si="19"/>
        <v>0</v>
      </c>
      <c r="X58" s="1243">
        <f t="shared" ca="1" si="19"/>
        <v>0</v>
      </c>
      <c r="Y58" s="1243">
        <f t="shared" ca="1" si="19"/>
        <v>0</v>
      </c>
      <c r="Z58" s="1243">
        <f t="shared" ca="1" si="19"/>
        <v>0</v>
      </c>
      <c r="AA58" s="1243">
        <f t="shared" ca="1" si="19"/>
        <v>0</v>
      </c>
      <c r="AB58" s="1243">
        <f t="shared" ca="1" si="19"/>
        <v>9.2307692307692313E-2</v>
      </c>
      <c r="AC58" s="1243">
        <f t="shared" ca="1" si="19"/>
        <v>0</v>
      </c>
      <c r="AD58" s="1243">
        <f t="shared" ca="1" si="19"/>
        <v>0</v>
      </c>
      <c r="AE58" s="1243">
        <f t="shared" ca="1" si="19"/>
        <v>6.1538461538461542E-2</v>
      </c>
      <c r="AF58" s="1243">
        <f t="shared" ca="1" si="19"/>
        <v>0</v>
      </c>
      <c r="AG58" s="1243">
        <f t="shared" ca="1" si="19"/>
        <v>0</v>
      </c>
      <c r="AH58" s="1243">
        <f t="shared" ca="1" si="19"/>
        <v>0</v>
      </c>
      <c r="AI58" s="1243">
        <f t="shared" ca="1" si="19"/>
        <v>0</v>
      </c>
      <c r="AJ58" s="1243">
        <f t="shared" ca="1" si="19"/>
        <v>0</v>
      </c>
      <c r="AK58" s="1243">
        <f t="shared" ca="1" si="19"/>
        <v>0</v>
      </c>
      <c r="AL58" s="1243">
        <f t="shared" ca="1" si="19"/>
        <v>0</v>
      </c>
      <c r="AM58" s="1243">
        <f t="shared" ca="1" si="19"/>
        <v>0</v>
      </c>
      <c r="AN58" s="1243">
        <f t="shared" ca="1" si="19"/>
        <v>0</v>
      </c>
      <c r="AO58" s="1243">
        <f t="shared" ca="1" si="19"/>
        <v>0</v>
      </c>
      <c r="AP58" s="1243">
        <f t="shared" ca="1" si="19"/>
        <v>0</v>
      </c>
      <c r="AQ58" s="1243">
        <f t="shared" ca="1" si="19"/>
        <v>0</v>
      </c>
      <c r="AR58" s="1243">
        <f t="shared" ca="1" si="19"/>
        <v>0</v>
      </c>
      <c r="AS58" s="1243">
        <f t="shared" ca="1" si="19"/>
        <v>0</v>
      </c>
      <c r="AT58" s="1243">
        <f t="shared" ca="1" si="10"/>
        <v>0</v>
      </c>
      <c r="AU58" s="1243"/>
      <c r="AV58" s="1243"/>
      <c r="AW58" s="1243"/>
      <c r="AX58" s="1243"/>
      <c r="AZ58" s="1243"/>
      <c r="CP58" s="1208" cm="1">
        <f t="array" aca="1" ref="CP58" ca="1">IFERROR(INDEX($CR58:$DU58,
       MATCH(TRUE,
             (($CR58=CQ$43)*
              (RIGHT($CS$47:$DU$47,3)=NewMUP)*
              ($CR58:$DU58&gt;0))&gt;0,
       0)),0)</f>
        <v>0</v>
      </c>
      <c r="CQ58" s="1305">
        <f ca="1">SUM(CS20:INDEX(16:16, COLUMN($CS20) +$CR$47 - 1))</f>
        <v>8</v>
      </c>
      <c r="CR58" s="1217" t="str">
        <f t="shared" ca="1" si="8"/>
        <v>DDU</v>
      </c>
      <c r="CS58" s="1243">
        <f ca="1">IF(CS20=0,0,CS20/$Q58)</f>
        <v>0</v>
      </c>
      <c r="CT58" s="1243">
        <f ca="1">IF(CT20=0,0,CT20/$Q58)</f>
        <v>0</v>
      </c>
      <c r="CU58" s="1243">
        <f ca="1">IF(CU20=0,0,CU20/$Q58)</f>
        <v>0</v>
      </c>
      <c r="CV58" s="1243">
        <f ca="1">IF(CV20=0,0,CV20/$Q58)</f>
        <v>0</v>
      </c>
      <c r="CW58" s="1243">
        <f ca="1">IF(CW20=0,0,CW20/$Q58)</f>
        <v>0</v>
      </c>
      <c r="CX58" s="1243">
        <f ca="1">IF(CX20=0,0,CX20/$Q58)</f>
        <v>0</v>
      </c>
      <c r="CY58" s="1243">
        <f ca="1">IF(CY20=0,0,CY20/$Q58)</f>
        <v>0</v>
      </c>
      <c r="CZ58" s="1243">
        <f ca="1">IF(CZ20=0,0,CZ20/$Q58)</f>
        <v>0</v>
      </c>
      <c r="DA58" s="1243">
        <f ca="1">IF(DA20=0,0,DA20/$Q58)</f>
        <v>0</v>
      </c>
      <c r="DB58" s="1243">
        <f ca="1">IF(DB20=0,0,DB20/$Q58)</f>
        <v>1.5384615384615385E-2</v>
      </c>
      <c r="DC58" s="1243">
        <f ca="1">IF(DC20=0,0,DC20/$Q58)</f>
        <v>0</v>
      </c>
      <c r="DD58" s="1243">
        <f ca="1">IF(DD20=0,0,DD20/$Q58)</f>
        <v>0</v>
      </c>
      <c r="DE58" s="1243">
        <f ca="1">IF(DE20=0,0,DE20/$Q58)</f>
        <v>0</v>
      </c>
      <c r="DF58" s="1243">
        <f ca="1">IF(DF20=0,0,DF20/$Q58)</f>
        <v>0</v>
      </c>
      <c r="DG58" s="1243">
        <f ca="1">IF(DG20=0,0,DG20/$Q58)</f>
        <v>0</v>
      </c>
      <c r="DH58" s="1243">
        <f ca="1">IF(DH20=0,0,DH20/$Q58)</f>
        <v>0</v>
      </c>
      <c r="DI58" s="1243">
        <f ca="1">IF(DI20=0,0,DI20/$Q58)</f>
        <v>0</v>
      </c>
      <c r="DJ58" s="1243">
        <f ca="1">IF(DJ20=0,0,DJ20/$Q58)</f>
        <v>0</v>
      </c>
      <c r="DK58" s="1243">
        <f ca="1">IF(DK20=0,0,DK20/$Q58)</f>
        <v>0</v>
      </c>
      <c r="DL58" s="1243">
        <f ca="1">IF(DL20=0,0,DL20/$Q58)</f>
        <v>0</v>
      </c>
      <c r="DM58" s="1243">
        <f ca="1">IF(DM20=0,0,DM20/$Q58)</f>
        <v>0</v>
      </c>
      <c r="DN58" s="1243">
        <f ca="1">IF(DN20=0,0,DN20/$Q58)</f>
        <v>0</v>
      </c>
      <c r="DO58" s="1243">
        <f ca="1">IF(DO20=0,0,DO20/$Q58)</f>
        <v>0</v>
      </c>
      <c r="DP58" s="1243">
        <f>IF(DP20=0,0,DP20/$Q58)</f>
        <v>0</v>
      </c>
      <c r="DQ58" s="1243">
        <f>IF(DQ20=0,0,DQ20/$Q58)</f>
        <v>0</v>
      </c>
      <c r="DR58" s="1243">
        <f>IF(DR20=0,0,DR20/$Q58)</f>
        <v>0</v>
      </c>
      <c r="DS58" s="1243">
        <f>IF(DS20=0,0,DS20/$Q58)</f>
        <v>0</v>
      </c>
      <c r="DT58" s="1243">
        <f>IF(DT20=0,0,DT20/$Q58)</f>
        <v>0</v>
      </c>
      <c r="DU58" s="1243">
        <f>IF(DU20=0,0,DU20/$Q58)</f>
        <v>0</v>
      </c>
      <c r="DV58" s="1243">
        <f>IF(DV20=0,0,DV20/$Q58)</f>
        <v>0</v>
      </c>
      <c r="DW58" s="1243">
        <f>IF(DW20=0,0,DW20/$Q58)</f>
        <v>0</v>
      </c>
      <c r="DX58" s="1243"/>
    </row>
    <row r="59" spans="2:128" x14ac:dyDescent="0.3">
      <c r="B59" s="89" vm="213">
        <f ca="1"/>
        <v>45891</v>
      </c>
      <c r="C59" s="89" vm="214">
        <f ca="1"/>
        <v>646.20000000000005</v>
      </c>
      <c r="D59" s="1225">
        <f t="shared" ca="1" si="0"/>
        <v>1.8439716312056809E-2</v>
      </c>
      <c r="E59" s="294" t="str" cm="1">
        <f t="array" aca="1" ref="E59" ca="1">_xlfn.IFS(D59&gt;ZPercent,"U",D59&lt;=-ZPercent,"D",TRUE,"Z")</f>
        <v>U</v>
      </c>
      <c r="F59" s="294" t="str">
        <f t="shared" ca="1" si="1"/>
        <v>DU</v>
      </c>
      <c r="G59" s="294" t="str">
        <f t="shared" ca="1" si="2"/>
        <v>DDU</v>
      </c>
      <c r="H59" s="874" t="str">
        <f t="shared" ca="1" si="3"/>
        <v/>
      </c>
      <c r="J59" s="89" vm="215">
        <f ca="1"/>
        <v>45735</v>
      </c>
      <c r="K59" s="89" vm="216">
        <f ca="1"/>
        <v>673.1</v>
      </c>
      <c r="N59" s="874" t="str">
        <f ca="1">IF(F59=[2]Sheet1!O57,"","dif")</f>
        <v>dif</v>
      </c>
      <c r="O59" s="1216"/>
      <c r="P59" s="1208" cm="1">
        <f t="array" aca="1" ref="P59" ca="1">IFERROR(INDEX($S59:$AT59,
       MATCH(TRUE,
             (($R59=Q55)*
              (RIGHT($S$47:$AT$47,3)=NewMUP)*
              ($S59:$AT59&gt;0))&gt;0,
       0)),0)</f>
        <v>0</v>
      </c>
      <c r="Q59" s="1305">
        <f ca="1">SUM(S21:INDEX(17:17, COLUMN($S21) +$R$47 - 1))</f>
        <v>58</v>
      </c>
      <c r="R59" s="1249" t="str">
        <f t="shared" ca="1" si="6"/>
        <v>ZUD</v>
      </c>
      <c r="S59" s="1242">
        <f t="shared" ref="S59:AS59" ca="1" si="20">IF(S21=0,0,S21/$Q59)</f>
        <v>0</v>
      </c>
      <c r="T59" s="1243">
        <f t="shared" ca="1" si="20"/>
        <v>6.8965517241379309E-2</v>
      </c>
      <c r="U59" s="1243">
        <f t="shared" ca="1" si="20"/>
        <v>0</v>
      </c>
      <c r="V59" s="1243">
        <f t="shared" ca="1" si="20"/>
        <v>1.7241379310344827E-2</v>
      </c>
      <c r="W59" s="1243">
        <f t="shared" ca="1" si="20"/>
        <v>0</v>
      </c>
      <c r="X59" s="1243">
        <f t="shared" ca="1" si="20"/>
        <v>0</v>
      </c>
      <c r="Y59" s="1243">
        <f t="shared" ca="1" si="20"/>
        <v>0</v>
      </c>
      <c r="Z59" s="1243">
        <f t="shared" ca="1" si="20"/>
        <v>0</v>
      </c>
      <c r="AA59" s="1243">
        <f t="shared" ca="1" si="20"/>
        <v>0</v>
      </c>
      <c r="AB59" s="1243">
        <f t="shared" ca="1" si="20"/>
        <v>0</v>
      </c>
      <c r="AC59" s="1243">
        <f t="shared" ca="1" si="20"/>
        <v>0</v>
      </c>
      <c r="AD59" s="1243">
        <f t="shared" ca="1" si="20"/>
        <v>0</v>
      </c>
      <c r="AE59" s="1243">
        <f t="shared" ca="1" si="20"/>
        <v>0</v>
      </c>
      <c r="AF59" s="1243">
        <f t="shared" ca="1" si="20"/>
        <v>0</v>
      </c>
      <c r="AG59" s="1243">
        <f t="shared" ca="1" si="20"/>
        <v>0</v>
      </c>
      <c r="AH59" s="1243">
        <f t="shared" ca="1" si="20"/>
        <v>0</v>
      </c>
      <c r="AI59" s="1243">
        <f t="shared" ca="1" si="20"/>
        <v>0</v>
      </c>
      <c r="AJ59" s="1243">
        <f t="shared" ca="1" si="20"/>
        <v>0</v>
      </c>
      <c r="AK59" s="1243">
        <f t="shared" ca="1" si="20"/>
        <v>0</v>
      </c>
      <c r="AL59" s="1243">
        <f t="shared" ca="1" si="20"/>
        <v>1.7241379310344827E-2</v>
      </c>
      <c r="AM59" s="1243">
        <f t="shared" ca="1" si="20"/>
        <v>0</v>
      </c>
      <c r="AN59" s="1243">
        <f t="shared" ca="1" si="20"/>
        <v>0</v>
      </c>
      <c r="AO59" s="1243">
        <f t="shared" ca="1" si="20"/>
        <v>0</v>
      </c>
      <c r="AP59" s="1243">
        <f t="shared" ca="1" si="20"/>
        <v>0</v>
      </c>
      <c r="AQ59" s="1243">
        <f t="shared" ca="1" si="20"/>
        <v>0</v>
      </c>
      <c r="AR59" s="1243">
        <f t="shared" ca="1" si="20"/>
        <v>0</v>
      </c>
      <c r="AS59" s="1243">
        <f t="shared" ca="1" si="20"/>
        <v>0</v>
      </c>
      <c r="AT59" s="1243">
        <f t="shared" ca="1" si="10"/>
        <v>0</v>
      </c>
      <c r="AU59" s="1243"/>
      <c r="AV59" s="1243"/>
      <c r="AW59" s="1243"/>
      <c r="AX59" s="1243"/>
      <c r="AZ59" s="1243"/>
      <c r="CP59" s="1208" cm="1">
        <f t="array" aca="1" ref="CP59" ca="1">IFERROR(INDEX($CR59:$DU59,
       MATCH(TRUE,
             (($CR59=CQ$43)*
              (RIGHT($CS$47:$DU$47,3)=NewMUP)*
              ($CR59:$DU59&gt;0))&gt;0,
       0)),0)</f>
        <v>0</v>
      </c>
      <c r="CQ59" s="1305">
        <f ca="1">SUM(CS21:INDEX(17:17, COLUMN($CS21) +$CR$47 - 1))</f>
        <v>6</v>
      </c>
      <c r="CR59" s="1217" t="str">
        <f t="shared" ca="1" si="8"/>
        <v>ZUD</v>
      </c>
      <c r="CS59" s="1243">
        <f ca="1">IF(CS21=0,0,CS21/$Q59)</f>
        <v>0</v>
      </c>
      <c r="CT59" s="1243">
        <f ca="1">IF(CT21=0,0,CT21/$Q59)</f>
        <v>1.7241379310344827E-2</v>
      </c>
      <c r="CU59" s="1243">
        <f ca="1">IF(CU21=0,0,CU21/$Q59)</f>
        <v>0</v>
      </c>
      <c r="CV59" s="1243">
        <f ca="1">IF(CV21=0,0,CV21/$Q59)</f>
        <v>0</v>
      </c>
      <c r="CW59" s="1243">
        <f ca="1">IF(CW21=0,0,CW21/$Q59)</f>
        <v>0</v>
      </c>
      <c r="CX59" s="1243">
        <f ca="1">IF(CX21=0,0,CX21/$Q59)</f>
        <v>0</v>
      </c>
      <c r="CY59" s="1243">
        <f ca="1">IF(CY21=0,0,CY21/$Q59)</f>
        <v>0</v>
      </c>
      <c r="CZ59" s="1243">
        <f ca="1">IF(CZ21=0,0,CZ21/$Q59)</f>
        <v>0</v>
      </c>
      <c r="DA59" s="1243">
        <f ca="1">IF(DA21=0,0,DA21/$Q59)</f>
        <v>0</v>
      </c>
      <c r="DB59" s="1243">
        <f ca="1">IF(DB21=0,0,DB21/$Q59)</f>
        <v>0</v>
      </c>
      <c r="DC59" s="1243">
        <f ca="1">IF(DC21=0,0,DC21/$Q59)</f>
        <v>0</v>
      </c>
      <c r="DD59" s="1243">
        <f ca="1">IF(DD21=0,0,DD21/$Q59)</f>
        <v>0</v>
      </c>
      <c r="DE59" s="1243">
        <f ca="1">IF(DE21=0,0,DE21/$Q59)</f>
        <v>0</v>
      </c>
      <c r="DF59" s="1243">
        <f ca="1">IF(DF21=0,0,DF21/$Q59)</f>
        <v>0</v>
      </c>
      <c r="DG59" s="1243">
        <f ca="1">IF(DG21=0,0,DG21/$Q59)</f>
        <v>0</v>
      </c>
      <c r="DH59" s="1243">
        <f ca="1">IF(DH21=0,0,DH21/$Q59)</f>
        <v>0</v>
      </c>
      <c r="DI59" s="1243">
        <f ca="1">IF(DI21=0,0,DI21/$Q59)</f>
        <v>0</v>
      </c>
      <c r="DJ59" s="1243">
        <f ca="1">IF(DJ21=0,0,DJ21/$Q59)</f>
        <v>0</v>
      </c>
      <c r="DK59" s="1243">
        <f ca="1">IF(DK21=0,0,DK21/$Q59)</f>
        <v>0</v>
      </c>
      <c r="DL59" s="1243">
        <f ca="1">IF(DL21=0,0,DL21/$Q59)</f>
        <v>0</v>
      </c>
      <c r="DM59" s="1243">
        <f ca="1">IF(DM21=0,0,DM21/$Q59)</f>
        <v>0</v>
      </c>
      <c r="DN59" s="1243">
        <f ca="1">IF(DN21=0,0,DN21/$Q59)</f>
        <v>0</v>
      </c>
      <c r="DO59" s="1243">
        <f ca="1">IF(DO21=0,0,DO21/$Q59)</f>
        <v>0</v>
      </c>
      <c r="DP59" s="1243">
        <f>IF(DP21=0,0,DP21/$Q59)</f>
        <v>0</v>
      </c>
      <c r="DQ59" s="1243">
        <f>IF(DQ21=0,0,DQ21/$Q59)</f>
        <v>0</v>
      </c>
      <c r="DR59" s="1243">
        <f>IF(DR21=0,0,DR21/$Q59)</f>
        <v>0</v>
      </c>
      <c r="DS59" s="1243">
        <f>IF(DS21=0,0,DS21/$Q59)</f>
        <v>0</v>
      </c>
      <c r="DT59" s="1243">
        <f>IF(DT21=0,0,DT21/$Q59)</f>
        <v>0</v>
      </c>
      <c r="DU59" s="1243">
        <f>IF(DU21=0,0,DU21/$Q59)</f>
        <v>0</v>
      </c>
      <c r="DV59" s="1243">
        <f>IF(DV21=0,0,DV21/$Q59)</f>
        <v>0</v>
      </c>
      <c r="DW59" s="1243">
        <f>IF(DW21=0,0,DW21/$Q59)</f>
        <v>0</v>
      </c>
      <c r="DX59" s="1243"/>
    </row>
    <row r="60" spans="2:128" x14ac:dyDescent="0.3">
      <c r="B60" s="89" vm="217">
        <f ca="1"/>
        <v>45890</v>
      </c>
      <c r="C60" s="89" vm="218">
        <f ca="1"/>
        <v>634.5</v>
      </c>
      <c r="D60" s="1225">
        <f t="shared" ca="1" si="0"/>
        <v>-5.7975556251959343E-3</v>
      </c>
      <c r="E60" s="294" t="str" cm="1">
        <f t="array" aca="1" ref="E60" ca="1">_xlfn.IFS(D60&gt;ZPercent,"U",D60&lt;=-ZPercent,"D",TRUE,"Z")</f>
        <v>D</v>
      </c>
      <c r="F60" s="294" t="str">
        <f t="shared" ca="1" si="1"/>
        <v>DD</v>
      </c>
      <c r="G60" s="294" t="str">
        <f t="shared" ca="1" si="2"/>
        <v>UDD</v>
      </c>
      <c r="H60" s="874" t="str">
        <f t="shared" ca="1" si="3"/>
        <v/>
      </c>
      <c r="J60" s="89" vm="219">
        <f ca="1"/>
        <v>45736</v>
      </c>
      <c r="K60" s="89" vm="220">
        <f ca="1"/>
        <v>672.5</v>
      </c>
      <c r="N60" s="874" t="str">
        <f ca="1">IF(F60=[2]Sheet1!O58,"","dif")</f>
        <v>dif</v>
      </c>
      <c r="O60" s="1216"/>
      <c r="P60" s="1208" cm="1">
        <f t="array" aca="1" ref="P60" ca="1">IFERROR(INDEX($S60:$AT60,
       MATCH(TRUE,
             (($R60=Q56)*
              (RIGHT($S$47:$AT$47,3)=NewMUP)*
              ($S60:$AT60&gt;0))&gt;0,
       0)),0)</f>
        <v>0</v>
      </c>
      <c r="Q60" s="1305">
        <f ca="1">SUM(S22:INDEX(18:18, COLUMN($S22) +$R$47 - 1))</f>
        <v>54</v>
      </c>
      <c r="R60" s="1249" t="str">
        <f t="shared" ca="1" si="6"/>
        <v>DUZ</v>
      </c>
      <c r="S60" s="1242">
        <f t="shared" ref="S60:AS60" ca="1" si="21">IF(S22=0,0,S22/$Q60)</f>
        <v>0</v>
      </c>
      <c r="T60" s="1243">
        <f t="shared" ca="1" si="21"/>
        <v>0</v>
      </c>
      <c r="U60" s="1243">
        <f t="shared" ca="1" si="21"/>
        <v>0</v>
      </c>
      <c r="V60" s="1243">
        <f t="shared" ca="1" si="21"/>
        <v>0</v>
      </c>
      <c r="W60" s="1243">
        <f t="shared" ca="1" si="21"/>
        <v>0</v>
      </c>
      <c r="X60" s="1243">
        <f t="shared" ca="1" si="21"/>
        <v>0</v>
      </c>
      <c r="Y60" s="1243">
        <f t="shared" ca="1" si="21"/>
        <v>9.2592592592592587E-2</v>
      </c>
      <c r="Z60" s="1243">
        <f t="shared" ca="1" si="21"/>
        <v>0</v>
      </c>
      <c r="AA60" s="1243">
        <f t="shared" ca="1" si="21"/>
        <v>0</v>
      </c>
      <c r="AB60" s="1243">
        <f t="shared" ca="1" si="21"/>
        <v>0</v>
      </c>
      <c r="AC60" s="1243">
        <f t="shared" ca="1" si="21"/>
        <v>0</v>
      </c>
      <c r="AD60" s="1243">
        <f t="shared" ca="1" si="21"/>
        <v>0</v>
      </c>
      <c r="AE60" s="1243">
        <f t="shared" ca="1" si="21"/>
        <v>0</v>
      </c>
      <c r="AF60" s="1243">
        <f t="shared" ca="1" si="21"/>
        <v>0</v>
      </c>
      <c r="AG60" s="1243">
        <f t="shared" ca="1" si="21"/>
        <v>0</v>
      </c>
      <c r="AH60" s="1243">
        <f t="shared" ca="1" si="21"/>
        <v>0</v>
      </c>
      <c r="AI60" s="1243">
        <f t="shared" ca="1" si="21"/>
        <v>0</v>
      </c>
      <c r="AJ60" s="1243">
        <f t="shared" ca="1" si="21"/>
        <v>0</v>
      </c>
      <c r="AK60" s="1243">
        <f t="shared" ca="1" si="21"/>
        <v>0</v>
      </c>
      <c r="AL60" s="1243">
        <f t="shared" ca="1" si="21"/>
        <v>0</v>
      </c>
      <c r="AM60" s="1243">
        <f t="shared" ca="1" si="21"/>
        <v>0</v>
      </c>
      <c r="AN60" s="1243">
        <f t="shared" ca="1" si="21"/>
        <v>0</v>
      </c>
      <c r="AO60" s="1243">
        <f t="shared" ca="1" si="21"/>
        <v>5.5555555555555552E-2</v>
      </c>
      <c r="AP60" s="1243">
        <f t="shared" ca="1" si="21"/>
        <v>0</v>
      </c>
      <c r="AQ60" s="1243">
        <f t="shared" ca="1" si="21"/>
        <v>0</v>
      </c>
      <c r="AR60" s="1243">
        <f t="shared" ca="1" si="21"/>
        <v>0</v>
      </c>
      <c r="AS60" s="1243">
        <f t="shared" ca="1" si="21"/>
        <v>0</v>
      </c>
      <c r="AT60" s="1243">
        <f t="shared" ca="1" si="10"/>
        <v>0</v>
      </c>
      <c r="AU60" s="1243"/>
      <c r="AV60" s="1243"/>
      <c r="AW60" s="1243"/>
      <c r="AX60" s="1243"/>
      <c r="AZ60" s="1243"/>
      <c r="CP60" s="1208" cm="1">
        <f t="array" aca="1" ref="CP60" ca="1">IFERROR(INDEX($CR60:$DU60,
       MATCH(TRUE,
             (($CR60=CQ$43)*
              (RIGHT($CS$47:$DU$47,3)=NewMUP)*
              ($CR60:$DU60&gt;0))&gt;0,
       0)),0)</f>
        <v>0</v>
      </c>
      <c r="CQ60" s="1305">
        <f ca="1">SUM(CS22:INDEX(18:18, COLUMN($CS22) +$CR$47 - 1))</f>
        <v>4</v>
      </c>
      <c r="CR60" s="1217" t="str">
        <f t="shared" ca="1" si="8"/>
        <v>DUZ</v>
      </c>
      <c r="CS60" s="1243">
        <f>IF(CS22=0,0,CS22/$Q60)</f>
        <v>0</v>
      </c>
      <c r="CT60" s="1243">
        <f>IF(CT22=0,0,CT22/$Q60)</f>
        <v>0</v>
      </c>
      <c r="CU60" s="1243">
        <f>IF(CU22=0,0,CU22/$Q60)</f>
        <v>0</v>
      </c>
      <c r="CV60" s="1243">
        <f>IF(CV22=0,0,CV22/$Q60)</f>
        <v>0</v>
      </c>
      <c r="CW60" s="1243">
        <f>IF(CW22=0,0,CW22/$Q60)</f>
        <v>0</v>
      </c>
      <c r="CX60" s="1243">
        <f>IF(CX22=0,0,CX22/$Q60)</f>
        <v>0</v>
      </c>
      <c r="CY60" s="1243">
        <f>IF(CY22=0,0,CY22/$Q60)</f>
        <v>0</v>
      </c>
      <c r="CZ60" s="1243">
        <f>IF(CZ22=0,0,CZ22/$Q60)</f>
        <v>0</v>
      </c>
      <c r="DA60" s="1243">
        <f>IF(DA22=0,0,DA22/$Q60)</f>
        <v>0</v>
      </c>
      <c r="DB60" s="1243">
        <f>IF(DB22=0,0,DB22/$Q60)</f>
        <v>0</v>
      </c>
      <c r="DC60" s="1243">
        <f>IF(DC22=0,0,DC22/$Q60)</f>
        <v>0</v>
      </c>
      <c r="DD60" s="1243">
        <f>IF(DD22=0,0,DD22/$Q60)</f>
        <v>0</v>
      </c>
      <c r="DE60" s="1243">
        <f>IF(DE22=0,0,DE22/$Q60)</f>
        <v>0</v>
      </c>
      <c r="DF60" s="1243">
        <f>IF(DF22=0,0,DF22/$Q60)</f>
        <v>0</v>
      </c>
      <c r="DG60" s="1243">
        <f>IF(DG22=0,0,DG22/$Q60)</f>
        <v>0</v>
      </c>
      <c r="DH60" s="1243">
        <f>IF(DH22=0,0,DH22/$Q60)</f>
        <v>0</v>
      </c>
      <c r="DI60" s="1243">
        <f>IF(DI22=0,0,DI22/$Q60)</f>
        <v>0</v>
      </c>
      <c r="DJ60" s="1243">
        <f>IF(DJ22=0,0,DJ22/$Q60)</f>
        <v>0</v>
      </c>
      <c r="DK60" s="1243">
        <f>IF(DK22=0,0,DK22/$Q60)</f>
        <v>0</v>
      </c>
      <c r="DL60" s="1243">
        <f>IF(DL22=0,0,DL22/$Q60)</f>
        <v>0</v>
      </c>
      <c r="DM60" s="1243">
        <f>IF(DM22=0,0,DM22/$Q60)</f>
        <v>0</v>
      </c>
      <c r="DN60" s="1243">
        <f>IF(DN22=0,0,DN22/$Q60)</f>
        <v>0</v>
      </c>
      <c r="DO60" s="1243">
        <f>IF(DO22=0,0,DO22/$Q60)</f>
        <v>0</v>
      </c>
      <c r="DP60" s="1243">
        <f>IF(DP22=0,0,DP22/$Q60)</f>
        <v>0</v>
      </c>
      <c r="DQ60" s="1243">
        <f>IF(DQ22=0,0,DQ22/$Q60)</f>
        <v>0</v>
      </c>
      <c r="DR60" s="1243">
        <f>IF(DR22=0,0,DR22/$Q60)</f>
        <v>0</v>
      </c>
      <c r="DS60" s="1243">
        <f>IF(DS22=0,0,DS22/$Q60)</f>
        <v>0</v>
      </c>
      <c r="DT60" s="1243">
        <f>IF(DT22=0,0,DT22/$Q60)</f>
        <v>0</v>
      </c>
      <c r="DU60" s="1243">
        <f>IF(DU22=0,0,DU22/$Q60)</f>
        <v>0</v>
      </c>
      <c r="DV60" s="1243">
        <f>IF(DV22=0,0,DV22/$Q60)</f>
        <v>0</v>
      </c>
      <c r="DW60" s="1243">
        <f>IF(DW22=0,0,DW22/$Q60)</f>
        <v>0</v>
      </c>
      <c r="DX60" s="1243"/>
    </row>
    <row r="61" spans="2:128" x14ac:dyDescent="0.3">
      <c r="B61" s="89" vm="221">
        <f ca="1"/>
        <v>45889</v>
      </c>
      <c r="C61" s="89" vm="222">
        <f ca="1"/>
        <v>638.20000000000005</v>
      </c>
      <c r="D61" s="1225">
        <f t="shared" ca="1" si="0"/>
        <v>-6.3833099797600953E-3</v>
      </c>
      <c r="E61" s="294" t="str" cm="1">
        <f t="array" aca="1" ref="E61" ca="1">_xlfn.IFS(D61&gt;ZPercent,"U",D61&lt;=-ZPercent,"D",TRUE,"Z")</f>
        <v>D</v>
      </c>
      <c r="F61" s="294" t="str">
        <f t="shared" ca="1" si="1"/>
        <v>UD</v>
      </c>
      <c r="G61" s="294" t="str">
        <f t="shared" ca="1" si="2"/>
        <v>ZUD</v>
      </c>
      <c r="H61" s="874" t="str">
        <f t="shared" ca="1" si="3"/>
        <v/>
      </c>
      <c r="J61" s="89" vm="223">
        <f ca="1"/>
        <v>45737</v>
      </c>
      <c r="K61" s="89" vm="224">
        <f ca="1"/>
        <v>660.7</v>
      </c>
      <c r="N61" s="874" t="str">
        <f ca="1">IF(F61=[2]Sheet1!O59,"","dif")</f>
        <v>dif</v>
      </c>
      <c r="O61" s="1216"/>
      <c r="P61" s="1208" cm="1">
        <f t="array" aca="1" ref="P61" ca="1">IFERROR(INDEX($S61:$AT61,
       MATCH(TRUE,
             (($R61=Q57)*
              (RIGHT($S$47:$AT$47,3)=NewMUP)*
              ($S61:$AT61&gt;0))&gt;0,
       0)),0)</f>
        <v>0</v>
      </c>
      <c r="Q61" s="1305">
        <f ca="1">SUM(S23:INDEX(19:19, COLUMN($S23) +$R$47 - 1))</f>
        <v>49</v>
      </c>
      <c r="R61" s="1249" t="str">
        <f t="shared" ca="1" si="6"/>
        <v>ZDU</v>
      </c>
      <c r="S61" s="1242">
        <f t="shared" ref="S61:AS61" ca="1" si="22">IF(S23=0,0,S23/$Q61)</f>
        <v>0</v>
      </c>
      <c r="T61" s="1243">
        <f t="shared" ca="1" si="22"/>
        <v>0</v>
      </c>
      <c r="U61" s="1243">
        <f t="shared" ca="1" si="22"/>
        <v>8.1632653061224483E-2</v>
      </c>
      <c r="V61" s="1243">
        <f t="shared" ca="1" si="22"/>
        <v>0</v>
      </c>
      <c r="W61" s="1243">
        <f t="shared" ca="1" si="22"/>
        <v>0</v>
      </c>
      <c r="X61" s="1243">
        <f t="shared" ca="1" si="22"/>
        <v>0</v>
      </c>
      <c r="Y61" s="1243">
        <f t="shared" ca="1" si="22"/>
        <v>0</v>
      </c>
      <c r="Z61" s="1243">
        <f t="shared" ca="1" si="22"/>
        <v>0</v>
      </c>
      <c r="AA61" s="1243">
        <f t="shared" ca="1" si="22"/>
        <v>0</v>
      </c>
      <c r="AB61" s="1243">
        <f t="shared" ca="1" si="22"/>
        <v>6.1224489795918366E-2</v>
      </c>
      <c r="AC61" s="1243">
        <f t="shared" ca="1" si="22"/>
        <v>0</v>
      </c>
      <c r="AD61" s="1243">
        <f t="shared" ca="1" si="22"/>
        <v>0</v>
      </c>
      <c r="AE61" s="1243">
        <f t="shared" ca="1" si="22"/>
        <v>4.0816326530612242E-2</v>
      </c>
      <c r="AF61" s="1243">
        <f t="shared" ca="1" si="22"/>
        <v>0</v>
      </c>
      <c r="AG61" s="1243">
        <f t="shared" ca="1" si="22"/>
        <v>0</v>
      </c>
      <c r="AH61" s="1243">
        <f t="shared" ca="1" si="22"/>
        <v>0</v>
      </c>
      <c r="AI61" s="1243">
        <f t="shared" ca="1" si="22"/>
        <v>0</v>
      </c>
      <c r="AJ61" s="1243">
        <f t="shared" ca="1" si="22"/>
        <v>0</v>
      </c>
      <c r="AK61" s="1243">
        <f t="shared" ca="1" si="22"/>
        <v>0</v>
      </c>
      <c r="AL61" s="1243">
        <f t="shared" ca="1" si="22"/>
        <v>0</v>
      </c>
      <c r="AM61" s="1243">
        <f t="shared" ca="1" si="22"/>
        <v>0</v>
      </c>
      <c r="AN61" s="1243">
        <f t="shared" ca="1" si="22"/>
        <v>0</v>
      </c>
      <c r="AO61" s="1243">
        <f t="shared" ca="1" si="22"/>
        <v>0</v>
      </c>
      <c r="AP61" s="1243">
        <f t="shared" ca="1" si="22"/>
        <v>0</v>
      </c>
      <c r="AQ61" s="1243">
        <f t="shared" ca="1" si="22"/>
        <v>0</v>
      </c>
      <c r="AR61" s="1243">
        <f t="shared" ca="1" si="22"/>
        <v>0</v>
      </c>
      <c r="AS61" s="1243">
        <f t="shared" ca="1" si="22"/>
        <v>0</v>
      </c>
      <c r="AT61" s="1243">
        <f t="shared" ca="1" si="10"/>
        <v>0</v>
      </c>
      <c r="AU61" s="1243"/>
      <c r="AV61" s="1243"/>
      <c r="AW61" s="1243"/>
      <c r="AX61" s="1243"/>
      <c r="AZ61" s="1243"/>
      <c r="CP61" s="1208" cm="1">
        <f t="array" aca="1" ref="CP61" ca="1">IFERROR(INDEX($CR61:$DU61,
       MATCH(TRUE,
             (($CR61=CQ$43)*
              (RIGHT($CS$47:$DU$47,3)=NewMUP)*
              ($CR61:$DU61&gt;0))&gt;0,
       0)),0)</f>
        <v>0</v>
      </c>
      <c r="CQ61" s="1305">
        <f ca="1">SUM(CS23:INDEX(19:19, COLUMN($CS23) +$CR$47 - 1))</f>
        <v>3</v>
      </c>
      <c r="CR61" s="1217" t="str">
        <f t="shared" ca="1" si="8"/>
        <v>ZDU</v>
      </c>
      <c r="CS61" s="1243">
        <f>IF(CS23=0,0,CS23/$Q61)</f>
        <v>0</v>
      </c>
      <c r="CT61" s="1243">
        <f>IF(CT23=0,0,CT23/$Q61)</f>
        <v>0</v>
      </c>
      <c r="CU61" s="1243">
        <f>IF(CU23=0,0,CU23/$Q61)</f>
        <v>0</v>
      </c>
      <c r="CV61" s="1243">
        <f>IF(CV23=0,0,CV23/$Q61)</f>
        <v>0</v>
      </c>
      <c r="CW61" s="1243">
        <f>IF(CW23=0,0,CW23/$Q61)</f>
        <v>0</v>
      </c>
      <c r="CX61" s="1243">
        <f>IF(CX23=0,0,CX23/$Q61)</f>
        <v>0</v>
      </c>
      <c r="CY61" s="1243">
        <f>IF(CY23=0,0,CY23/$Q61)</f>
        <v>0</v>
      </c>
      <c r="CZ61" s="1243">
        <f>IF(CZ23=0,0,CZ23/$Q61)</f>
        <v>0</v>
      </c>
      <c r="DA61" s="1243">
        <f>IF(DA23=0,0,DA23/$Q61)</f>
        <v>0</v>
      </c>
      <c r="DB61" s="1243">
        <f>IF(DB23=0,0,DB23/$Q61)</f>
        <v>0</v>
      </c>
      <c r="DC61" s="1243">
        <f>IF(DC23=0,0,DC23/$Q61)</f>
        <v>0</v>
      </c>
      <c r="DD61" s="1243">
        <f>IF(DD23=0,0,DD23/$Q61)</f>
        <v>0</v>
      </c>
      <c r="DE61" s="1243">
        <f>IF(DE23=0,0,DE23/$Q61)</f>
        <v>0</v>
      </c>
      <c r="DF61" s="1243">
        <f>IF(DF23=0,0,DF23/$Q61)</f>
        <v>0</v>
      </c>
      <c r="DG61" s="1243">
        <f>IF(DG23=0,0,DG23/$Q61)</f>
        <v>0</v>
      </c>
      <c r="DH61" s="1243">
        <f>IF(DH23=0,0,DH23/$Q61)</f>
        <v>0</v>
      </c>
      <c r="DI61" s="1243">
        <f>IF(DI23=0,0,DI23/$Q61)</f>
        <v>0</v>
      </c>
      <c r="DJ61" s="1243">
        <f>IF(DJ23=0,0,DJ23/$Q61)</f>
        <v>0</v>
      </c>
      <c r="DK61" s="1243">
        <f>IF(DK23=0,0,DK23/$Q61)</f>
        <v>0</v>
      </c>
      <c r="DL61" s="1243">
        <f>IF(DL23=0,0,DL23/$Q61)</f>
        <v>0</v>
      </c>
      <c r="DM61" s="1243">
        <f>IF(DM23=0,0,DM23/$Q61)</f>
        <v>0</v>
      </c>
      <c r="DN61" s="1243">
        <f>IF(DN23=0,0,DN23/$Q61)</f>
        <v>0</v>
      </c>
      <c r="DO61" s="1243">
        <f>IF(DO23=0,0,DO23/$Q61)</f>
        <v>0</v>
      </c>
      <c r="DP61" s="1243">
        <f>IF(DP23=0,0,DP23/$Q61)</f>
        <v>0</v>
      </c>
      <c r="DQ61" s="1243">
        <f>IF(DQ23=0,0,DQ23/$Q61)</f>
        <v>0</v>
      </c>
      <c r="DR61" s="1243">
        <f>IF(DR23=0,0,DR23/$Q61)</f>
        <v>0</v>
      </c>
      <c r="DS61" s="1243">
        <f>IF(DS23=0,0,DS23/$Q61)</f>
        <v>0</v>
      </c>
      <c r="DT61" s="1243">
        <f>IF(DT23=0,0,DT23/$Q61)</f>
        <v>0</v>
      </c>
      <c r="DU61" s="1243">
        <f>IF(DU23=0,0,DU23/$Q61)</f>
        <v>0</v>
      </c>
      <c r="DV61" s="1243">
        <f>IF(DV23=0,0,DV23/$Q61)</f>
        <v>0</v>
      </c>
      <c r="DW61" s="1243">
        <f>IF(DW23=0,0,DW23/$Q61)</f>
        <v>0</v>
      </c>
      <c r="DX61" s="1243"/>
    </row>
    <row r="62" spans="2:128" x14ac:dyDescent="0.3">
      <c r="B62" s="89" vm="225">
        <f ca="1"/>
        <v>45888</v>
      </c>
      <c r="C62" s="89" vm="226">
        <f ca="1"/>
        <v>642.29999999999995</v>
      </c>
      <c r="D62" s="1225">
        <f t="shared" ca="1" si="0"/>
        <v>5.6364490371064802E-3</v>
      </c>
      <c r="E62" s="294" t="str" cm="1">
        <f t="array" aca="1" ref="E62" ca="1">_xlfn.IFS(D62&gt;ZPercent,"U",D62&lt;=-ZPercent,"D",TRUE,"Z")</f>
        <v>U</v>
      </c>
      <c r="F62" s="294" t="str">
        <f t="shared" ca="1" si="1"/>
        <v>ZU</v>
      </c>
      <c r="G62" s="294" t="str">
        <f t="shared" ca="1" si="2"/>
        <v>DZU</v>
      </c>
      <c r="H62" s="874" t="str">
        <f t="shared" ca="1" si="3"/>
        <v/>
      </c>
      <c r="J62" s="89" vm="227">
        <f ca="1"/>
        <v>45740</v>
      </c>
      <c r="K62" s="89" vm="228">
        <f ca="1"/>
        <v>674.6</v>
      </c>
      <c r="N62" s="874" t="str">
        <f ca="1">IF(F62=[2]Sheet1!O60,"","dif")</f>
        <v>dif</v>
      </c>
      <c r="O62" s="1216"/>
      <c r="P62" s="1208" cm="1">
        <f t="array" aca="1" ref="P62" ca="1">IFERROR(INDEX($S62:$AT62,
       MATCH(TRUE,
             (($R62=Q58)*
              (RIGHT($S$47:$AT$47,3)=NewMUP)*
              ($S62:$AT62&gt;0))&gt;0,
       0)),0)</f>
        <v>0</v>
      </c>
      <c r="Q62" s="1305">
        <f ca="1">SUM(S24:INDEX(20:20, COLUMN($S24) +$R$47 - 1))</f>
        <v>43</v>
      </c>
      <c r="R62" s="1249" t="str">
        <f t="shared" ca="1" si="6"/>
        <v>DZD</v>
      </c>
      <c r="S62" s="1242">
        <f t="shared" ref="S62:AS62" ca="1" si="23">IF(S24=0,0,S24/$Q62)</f>
        <v>0</v>
      </c>
      <c r="T62" s="1243">
        <f t="shared" ca="1" si="23"/>
        <v>0</v>
      </c>
      <c r="U62" s="1243">
        <f t="shared" ca="1" si="23"/>
        <v>0</v>
      </c>
      <c r="V62" s="1243">
        <f t="shared" ca="1" si="23"/>
        <v>0</v>
      </c>
      <c r="W62" s="1243">
        <f t="shared" ca="1" si="23"/>
        <v>0</v>
      </c>
      <c r="X62" s="1243">
        <f t="shared" ca="1" si="23"/>
        <v>0</v>
      </c>
      <c r="Y62" s="1243">
        <f t="shared" ca="1" si="23"/>
        <v>0</v>
      </c>
      <c r="Z62" s="1243">
        <f t="shared" ca="1" si="23"/>
        <v>0</v>
      </c>
      <c r="AA62" s="1243">
        <f t="shared" ca="1" si="23"/>
        <v>0</v>
      </c>
      <c r="AB62" s="1243">
        <f t="shared" ca="1" si="23"/>
        <v>0</v>
      </c>
      <c r="AC62" s="1243">
        <f t="shared" ca="1" si="23"/>
        <v>0</v>
      </c>
      <c r="AD62" s="1243">
        <f t="shared" ca="1" si="23"/>
        <v>0</v>
      </c>
      <c r="AE62" s="1243">
        <f t="shared" ca="1" si="23"/>
        <v>0</v>
      </c>
      <c r="AF62" s="1243">
        <f t="shared" ca="1" si="23"/>
        <v>6.9767441860465115E-2</v>
      </c>
      <c r="AG62" s="1243">
        <f t="shared" ca="1" si="23"/>
        <v>0</v>
      </c>
      <c r="AH62" s="1243">
        <f t="shared" ca="1" si="23"/>
        <v>0</v>
      </c>
      <c r="AI62" s="1243">
        <f t="shared" ca="1" si="23"/>
        <v>0</v>
      </c>
      <c r="AJ62" s="1243">
        <f t="shared" ca="1" si="23"/>
        <v>0</v>
      </c>
      <c r="AK62" s="1243">
        <f t="shared" ca="1" si="23"/>
        <v>0</v>
      </c>
      <c r="AL62" s="1243">
        <f t="shared" ca="1" si="23"/>
        <v>0</v>
      </c>
      <c r="AM62" s="1243">
        <f t="shared" ca="1" si="23"/>
        <v>0</v>
      </c>
      <c r="AN62" s="1243">
        <f t="shared" ca="1" si="23"/>
        <v>4.6511627906976744E-2</v>
      </c>
      <c r="AO62" s="1243">
        <f t="shared" ca="1" si="23"/>
        <v>0</v>
      </c>
      <c r="AP62" s="1243">
        <f t="shared" ca="1" si="23"/>
        <v>0</v>
      </c>
      <c r="AQ62" s="1243">
        <f t="shared" ca="1" si="23"/>
        <v>0</v>
      </c>
      <c r="AR62" s="1243">
        <f t="shared" ca="1" si="23"/>
        <v>0</v>
      </c>
      <c r="AS62" s="1243">
        <f t="shared" ca="1" si="23"/>
        <v>0</v>
      </c>
      <c r="AT62" s="1243">
        <f t="shared" ca="1" si="10"/>
        <v>0</v>
      </c>
      <c r="AU62" s="1243"/>
      <c r="AV62" s="1243"/>
      <c r="AW62" s="1243"/>
      <c r="AX62" s="1243"/>
      <c r="AZ62" s="1243"/>
      <c r="CP62" s="1208" cm="1">
        <f t="array" aca="1" ref="CP62" ca="1">IFERROR(INDEX($CR62:$DU62,
       MATCH(TRUE,
             (($CR62=CQ$43)*
              (RIGHT($CS$47:$DU$47,3)=NewMUP)*
              ($CR62:$DU62&gt;0))&gt;0,
       0)),0)</f>
        <v>0</v>
      </c>
      <c r="CQ62" s="1305">
        <f ca="1">SUM(CS24:INDEX(20:20, COLUMN($CS24) +$CR$47 - 1))</f>
        <v>2</v>
      </c>
      <c r="CR62" s="1217" t="str">
        <f t="shared" ca="1" si="8"/>
        <v>DZD</v>
      </c>
      <c r="CS62" s="1243">
        <f>IF(CS24=0,0,CS24/$Q62)</f>
        <v>0</v>
      </c>
      <c r="CT62" s="1243">
        <f>IF(CT24=0,0,CT24/$Q62)</f>
        <v>0</v>
      </c>
      <c r="CU62" s="1243">
        <f>IF(CU24=0,0,CU24/$Q62)</f>
        <v>0</v>
      </c>
      <c r="CV62" s="1243">
        <f>IF(CV24=0,0,CV24/$Q62)</f>
        <v>0</v>
      </c>
      <c r="CW62" s="1243">
        <f>IF(CW24=0,0,CW24/$Q62)</f>
        <v>0</v>
      </c>
      <c r="CX62" s="1243">
        <f>IF(CX24=0,0,CX24/$Q62)</f>
        <v>0</v>
      </c>
      <c r="CY62" s="1243">
        <f>IF(CY24=0,0,CY24/$Q62)</f>
        <v>0</v>
      </c>
      <c r="CZ62" s="1243">
        <f>IF(CZ24=0,0,CZ24/$Q62)</f>
        <v>0</v>
      </c>
      <c r="DA62" s="1243">
        <f>IF(DA24=0,0,DA24/$Q62)</f>
        <v>0</v>
      </c>
      <c r="DB62" s="1243">
        <f>IF(DB24=0,0,DB24/$Q62)</f>
        <v>0</v>
      </c>
      <c r="DC62" s="1243">
        <f>IF(DC24=0,0,DC24/$Q62)</f>
        <v>0</v>
      </c>
      <c r="DD62" s="1243">
        <f>IF(DD24=0,0,DD24/$Q62)</f>
        <v>0</v>
      </c>
      <c r="DE62" s="1243">
        <f>IF(DE24=0,0,DE24/$Q62)</f>
        <v>0</v>
      </c>
      <c r="DF62" s="1243">
        <f>IF(DF24=0,0,DF24/$Q62)</f>
        <v>0</v>
      </c>
      <c r="DG62" s="1243">
        <f>IF(DG24=0,0,DG24/$Q62)</f>
        <v>0</v>
      </c>
      <c r="DH62" s="1243">
        <f>IF(DH24=0,0,DH24/$Q62)</f>
        <v>0</v>
      </c>
      <c r="DI62" s="1243">
        <f>IF(DI24=0,0,DI24/$Q62)</f>
        <v>0</v>
      </c>
      <c r="DJ62" s="1243">
        <f>IF(DJ24=0,0,DJ24/$Q62)</f>
        <v>0</v>
      </c>
      <c r="DK62" s="1243">
        <f>IF(DK24=0,0,DK24/$Q62)</f>
        <v>0</v>
      </c>
      <c r="DL62" s="1243">
        <f>IF(DL24=0,0,DL24/$Q62)</f>
        <v>0</v>
      </c>
      <c r="DM62" s="1243">
        <f>IF(DM24=0,0,DM24/$Q62)</f>
        <v>0</v>
      </c>
      <c r="DN62" s="1243">
        <f>IF(DN24=0,0,DN24/$Q62)</f>
        <v>0</v>
      </c>
      <c r="DO62" s="1243">
        <f>IF(DO24=0,0,DO24/$Q62)</f>
        <v>0</v>
      </c>
      <c r="DP62" s="1243">
        <f>IF(DP24=0,0,DP24/$Q62)</f>
        <v>0</v>
      </c>
      <c r="DQ62" s="1243">
        <f>IF(DQ24=0,0,DQ24/$Q62)</f>
        <v>0</v>
      </c>
      <c r="DR62" s="1243">
        <f>IF(DR24=0,0,DR24/$Q62)</f>
        <v>0</v>
      </c>
      <c r="DS62" s="1243">
        <f>IF(DS24=0,0,DS24/$Q62)</f>
        <v>0</v>
      </c>
      <c r="DT62" s="1243">
        <f>IF(DT24=0,0,DT24/$Q62)</f>
        <v>0</v>
      </c>
      <c r="DU62" s="1243">
        <f>IF(DU24=0,0,DU24/$Q62)</f>
        <v>0</v>
      </c>
      <c r="DV62" s="1243">
        <f>IF(DV24=0,0,DV24/$Q62)</f>
        <v>0</v>
      </c>
      <c r="DW62" s="1243">
        <f>IF(DW24=0,0,DW24/$Q62)</f>
        <v>0</v>
      </c>
      <c r="DX62" s="1243"/>
    </row>
    <row r="63" spans="2:128" x14ac:dyDescent="0.3">
      <c r="B63" s="89" vm="229">
        <f ca="1"/>
        <v>45887</v>
      </c>
      <c r="C63" s="89" vm="230">
        <f ca="1"/>
        <v>638.70000000000005</v>
      </c>
      <c r="D63" s="1225">
        <f t="shared" ca="1" si="0"/>
        <v>3.1411967959792679E-3</v>
      </c>
      <c r="E63" s="294" t="str" cm="1">
        <f t="array" aca="1" ref="E63" ca="1">_xlfn.IFS(D63&gt;ZPercent,"U",D63&lt;=-ZPercent,"D",TRUE,"Z")</f>
        <v>Z</v>
      </c>
      <c r="F63" s="294" t="str">
        <f t="shared" ca="1" si="1"/>
        <v>DZ</v>
      </c>
      <c r="G63" s="294" t="str">
        <f t="shared" ca="1" si="2"/>
        <v>ZDZ</v>
      </c>
      <c r="H63" s="874" t="str">
        <f t="shared" ca="1" si="3"/>
        <v/>
      </c>
      <c r="J63" s="89" vm="231">
        <f ca="1"/>
        <v>45741</v>
      </c>
      <c r="K63" s="89" vm="232">
        <f ca="1"/>
        <v>674.7</v>
      </c>
      <c r="N63" s="874" t="str">
        <f ca="1">IF(F63=[2]Sheet1!O61,"","dif")</f>
        <v>dif</v>
      </c>
      <c r="O63" s="1216"/>
      <c r="P63" s="1208" cm="1">
        <f t="array" aca="1" ref="P63" ca="1">IFERROR(INDEX($S63:$AT63,
       MATCH(TRUE,
             (($R63=Q59)*
              (RIGHT($S$47:$AT$47,3)=NewMUP)*
              ($S63:$AT63&gt;0))&gt;0,
       0)),0)</f>
        <v>0</v>
      </c>
      <c r="Q63" s="1305">
        <f ca="1">SUM(S25:INDEX(21:21, COLUMN($S25) +$R$47 - 1))</f>
        <v>32</v>
      </c>
      <c r="R63" s="1249" t="str">
        <f t="shared" ca="1" si="6"/>
        <v>DDZ</v>
      </c>
      <c r="S63" s="1242">
        <f t="shared" ref="S63:AS63" ca="1" si="24">IF(S25=0,0,S25/$Q63)</f>
        <v>0</v>
      </c>
      <c r="T63" s="1243">
        <f t="shared" ca="1" si="24"/>
        <v>0</v>
      </c>
      <c r="U63" s="1243">
        <f t="shared" ca="1" si="24"/>
        <v>0</v>
      </c>
      <c r="V63" s="1243">
        <f t="shared" ca="1" si="24"/>
        <v>0</v>
      </c>
      <c r="W63" s="1243">
        <f t="shared" ca="1" si="24"/>
        <v>0</v>
      </c>
      <c r="X63" s="1243">
        <f t="shared" ca="1" si="24"/>
        <v>0</v>
      </c>
      <c r="Y63" s="1243">
        <f t="shared" ca="1" si="24"/>
        <v>0</v>
      </c>
      <c r="Z63" s="1243">
        <f t="shared" ca="1" si="24"/>
        <v>0</v>
      </c>
      <c r="AA63" s="1243">
        <f t="shared" ca="1" si="24"/>
        <v>0</v>
      </c>
      <c r="AB63" s="1243">
        <f t="shared" ca="1" si="24"/>
        <v>0</v>
      </c>
      <c r="AC63" s="1243">
        <f t="shared" ca="1" si="24"/>
        <v>0</v>
      </c>
      <c r="AD63" s="1243">
        <f t="shared" ca="1" si="24"/>
        <v>0</v>
      </c>
      <c r="AE63" s="1243">
        <f t="shared" ca="1" si="24"/>
        <v>0</v>
      </c>
      <c r="AF63" s="1243">
        <f t="shared" ca="1" si="24"/>
        <v>0</v>
      </c>
      <c r="AG63" s="1243">
        <f t="shared" ca="1" si="24"/>
        <v>9.375E-2</v>
      </c>
      <c r="AH63" s="1243">
        <f t="shared" ca="1" si="24"/>
        <v>0</v>
      </c>
      <c r="AI63" s="1243">
        <f t="shared" ca="1" si="24"/>
        <v>0</v>
      </c>
      <c r="AJ63" s="1243">
        <f t="shared" ca="1" si="24"/>
        <v>0</v>
      </c>
      <c r="AK63" s="1243">
        <f t="shared" ca="1" si="24"/>
        <v>0</v>
      </c>
      <c r="AL63" s="1243">
        <f t="shared" ca="1" si="24"/>
        <v>0</v>
      </c>
      <c r="AM63" s="1243">
        <f t="shared" ca="1" si="24"/>
        <v>3.125E-2</v>
      </c>
      <c r="AN63" s="1243">
        <f t="shared" ca="1" si="24"/>
        <v>0</v>
      </c>
      <c r="AO63" s="1243">
        <f t="shared" ca="1" si="24"/>
        <v>0</v>
      </c>
      <c r="AP63" s="1243">
        <f t="shared" ca="1" si="24"/>
        <v>0</v>
      </c>
      <c r="AQ63" s="1243">
        <f t="shared" ca="1" si="24"/>
        <v>0</v>
      </c>
      <c r="AR63" s="1243">
        <f t="shared" ca="1" si="24"/>
        <v>0</v>
      </c>
      <c r="AS63" s="1243">
        <f t="shared" ca="1" si="24"/>
        <v>0</v>
      </c>
      <c r="AT63" s="1243">
        <f t="shared" ca="1" si="10"/>
        <v>0</v>
      </c>
      <c r="AU63" s="1243"/>
      <c r="AV63" s="1243"/>
      <c r="AW63" s="1243"/>
      <c r="AX63" s="1243"/>
      <c r="AZ63" s="1243"/>
      <c r="CP63" s="1208" cm="1">
        <f t="array" aca="1" ref="CP63" ca="1">IFERROR(INDEX($CR63:$DU63,
       MATCH(TRUE,
             (($CR63=CQ$43)*
              (RIGHT($CS$47:$DU$47,3)=NewMUP)*
              ($CR63:$DU63&gt;0))&gt;0,
       0)),0)</f>
        <v>0</v>
      </c>
      <c r="CQ63" s="1305">
        <f ca="1">SUM(CS25:INDEX(21:21, COLUMN($CS25) +$CR$47 - 1))</f>
        <v>1</v>
      </c>
      <c r="CR63" s="1217" t="str">
        <f t="shared" ca="1" si="8"/>
        <v>DDZ</v>
      </c>
      <c r="CS63" s="1243">
        <f>IF(CS25=0,0,CS25/$Q63)</f>
        <v>0</v>
      </c>
      <c r="CT63" s="1243">
        <f>IF(CT25=0,0,CT25/$Q63)</f>
        <v>0</v>
      </c>
      <c r="CU63" s="1243">
        <f>IF(CU25=0,0,CU25/$Q63)</f>
        <v>0</v>
      </c>
      <c r="CV63" s="1243">
        <f>IF(CV25=0,0,CV25/$Q63)</f>
        <v>0</v>
      </c>
      <c r="CW63" s="1243">
        <f>IF(CW25=0,0,CW25/$Q63)</f>
        <v>0</v>
      </c>
      <c r="CX63" s="1243">
        <f>IF(CX25=0,0,CX25/$Q63)</f>
        <v>0</v>
      </c>
      <c r="CY63" s="1243">
        <f>IF(CY25=0,0,CY25/$Q63)</f>
        <v>0</v>
      </c>
      <c r="CZ63" s="1243">
        <f>IF(CZ25=0,0,CZ25/$Q63)</f>
        <v>0</v>
      </c>
      <c r="DA63" s="1243">
        <f>IF(DA25=0,0,DA25/$Q63)</f>
        <v>0</v>
      </c>
      <c r="DB63" s="1243">
        <f>IF(DB25=0,0,DB25/$Q63)</f>
        <v>0</v>
      </c>
      <c r="DC63" s="1243">
        <f>IF(DC25=0,0,DC25/$Q63)</f>
        <v>0</v>
      </c>
      <c r="DD63" s="1243">
        <f>IF(DD25=0,0,DD25/$Q63)</f>
        <v>0</v>
      </c>
      <c r="DE63" s="1243">
        <f>IF(DE25=0,0,DE25/$Q63)</f>
        <v>0</v>
      </c>
      <c r="DF63" s="1243">
        <f>IF(DF25=0,0,DF25/$Q63)</f>
        <v>0</v>
      </c>
      <c r="DG63" s="1243">
        <f>IF(DG25=0,0,DG25/$Q63)</f>
        <v>0</v>
      </c>
      <c r="DH63" s="1243">
        <f>IF(DH25=0,0,DH25/$Q63)</f>
        <v>0</v>
      </c>
      <c r="DI63" s="1243">
        <f>IF(DI25=0,0,DI25/$Q63)</f>
        <v>0</v>
      </c>
      <c r="DJ63" s="1243">
        <f>IF(DJ25=0,0,DJ25/$Q63)</f>
        <v>0</v>
      </c>
      <c r="DK63" s="1243">
        <f>IF(DK25=0,0,DK25/$Q63)</f>
        <v>0</v>
      </c>
      <c r="DL63" s="1243">
        <f>IF(DL25=0,0,DL25/$Q63)</f>
        <v>0</v>
      </c>
      <c r="DM63" s="1243">
        <f>IF(DM25=0,0,DM25/$Q63)</f>
        <v>0</v>
      </c>
      <c r="DN63" s="1243">
        <f>IF(DN25=0,0,DN25/$Q63)</f>
        <v>0</v>
      </c>
      <c r="DO63" s="1243">
        <f>IF(DO25=0,0,DO25/$Q63)</f>
        <v>0</v>
      </c>
      <c r="DP63" s="1243">
        <f>IF(DP25=0,0,DP25/$Q63)</f>
        <v>0</v>
      </c>
      <c r="DQ63" s="1243">
        <f>IF(DQ25=0,0,DQ25/$Q63)</f>
        <v>0</v>
      </c>
      <c r="DR63" s="1243">
        <f>IF(DR25=0,0,DR25/$Q63)</f>
        <v>0</v>
      </c>
      <c r="DS63" s="1243">
        <f>IF(DS25=0,0,DS25/$Q63)</f>
        <v>0</v>
      </c>
      <c r="DT63" s="1243">
        <f>IF(DT25=0,0,DT25/$Q63)</f>
        <v>0</v>
      </c>
      <c r="DU63" s="1243">
        <f>IF(DU25=0,0,DU25/$Q63)</f>
        <v>0</v>
      </c>
      <c r="DV63" s="1243">
        <f>IF(DV25=0,0,DV25/$Q63)</f>
        <v>0</v>
      </c>
      <c r="DW63" s="1243">
        <f>IF(DW25=0,0,DW25/$Q63)</f>
        <v>0</v>
      </c>
      <c r="DX63" s="1243"/>
    </row>
    <row r="64" spans="2:128" x14ac:dyDescent="0.3">
      <c r="B64" s="89" vm="233">
        <f ca="1"/>
        <v>45884</v>
      </c>
      <c r="C64" s="89" vm="234">
        <f ca="1"/>
        <v>636.70000000000005</v>
      </c>
      <c r="D64" s="1225">
        <f t="shared" ca="1" si="0"/>
        <v>-9.6438015243427155E-3</v>
      </c>
      <c r="E64" s="294" t="str" cm="1">
        <f t="array" aca="1" ref="E64" ca="1">_xlfn.IFS(D64&gt;ZPercent,"U",D64&lt;=-ZPercent,"D",TRUE,"Z")</f>
        <v>D</v>
      </c>
      <c r="F64" s="294" t="str">
        <f t="shared" ca="1" si="1"/>
        <v>ZD</v>
      </c>
      <c r="G64" s="294" t="str">
        <f t="shared" ca="1" si="2"/>
        <v>UZD</v>
      </c>
      <c r="H64" s="874" t="str">
        <f t="shared" ca="1" si="3"/>
        <v>ZZ</v>
      </c>
      <c r="J64" s="89" vm="235">
        <f ca="1"/>
        <v>45742</v>
      </c>
      <c r="K64" s="89" vm="236">
        <f ca="1"/>
        <v>657.2</v>
      </c>
      <c r="N64" s="874" t="str">
        <f ca="1">IF(F64=[2]Sheet1!O62,"","dif")</f>
        <v>dif</v>
      </c>
      <c r="O64" s="1216"/>
      <c r="P64" s="1208" cm="1">
        <f t="array" aca="1" ref="P64" ca="1">IFERROR(INDEX($S64:$AT64,
       MATCH(TRUE,
             (($R64=Q60)*
              (RIGHT($S$47:$AT$47,3)=NewMUP)*
              ($S64:$AT64&gt;0))&gt;0,
       0)),0)</f>
        <v>0</v>
      </c>
      <c r="Q64" s="1305">
        <f ca="1">SUM(S26:INDEX(22:22, COLUMN($S26) +$R$47 - 1))</f>
        <v>28</v>
      </c>
      <c r="R64" s="1249" t="str">
        <f t="shared" ca="1" si="6"/>
        <v>ZUZ</v>
      </c>
      <c r="S64" s="1242">
        <f t="shared" ref="S64:AS64" ca="1" si="25">IF(S26=0,0,S26/$Q64)</f>
        <v>0</v>
      </c>
      <c r="T64" s="1243">
        <f t="shared" ca="1" si="25"/>
        <v>0</v>
      </c>
      <c r="U64" s="1243">
        <f t="shared" ca="1" si="25"/>
        <v>0</v>
      </c>
      <c r="V64" s="1243">
        <f t="shared" ca="1" si="25"/>
        <v>0</v>
      </c>
      <c r="W64" s="1243">
        <f t="shared" ca="1" si="25"/>
        <v>0</v>
      </c>
      <c r="X64" s="1243">
        <f t="shared" ca="1" si="25"/>
        <v>0</v>
      </c>
      <c r="Y64" s="1243">
        <f t="shared" ca="1" si="25"/>
        <v>3.5714285714285712E-2</v>
      </c>
      <c r="Z64" s="1243">
        <f t="shared" ca="1" si="25"/>
        <v>0</v>
      </c>
      <c r="AA64" s="1243">
        <f t="shared" ca="1" si="25"/>
        <v>0</v>
      </c>
      <c r="AB64" s="1243">
        <f t="shared" ca="1" si="25"/>
        <v>0</v>
      </c>
      <c r="AC64" s="1243">
        <f t="shared" ca="1" si="25"/>
        <v>0</v>
      </c>
      <c r="AD64" s="1243">
        <f t="shared" ca="1" si="25"/>
        <v>0</v>
      </c>
      <c r="AE64" s="1243">
        <f t="shared" ca="1" si="25"/>
        <v>0</v>
      </c>
      <c r="AF64" s="1243">
        <f t="shared" ca="1" si="25"/>
        <v>0</v>
      </c>
      <c r="AG64" s="1243">
        <f t="shared" ca="1" si="25"/>
        <v>0</v>
      </c>
      <c r="AH64" s="1243">
        <f t="shared" ca="1" si="25"/>
        <v>0</v>
      </c>
      <c r="AI64" s="1243">
        <f t="shared" ca="1" si="25"/>
        <v>0</v>
      </c>
      <c r="AJ64" s="1243">
        <f t="shared" ca="1" si="25"/>
        <v>0</v>
      </c>
      <c r="AK64" s="1243">
        <f t="shared" ca="1" si="25"/>
        <v>0</v>
      </c>
      <c r="AL64" s="1243">
        <f t="shared" ca="1" si="25"/>
        <v>0</v>
      </c>
      <c r="AM64" s="1243">
        <f t="shared" ca="1" si="25"/>
        <v>0</v>
      </c>
      <c r="AN64" s="1243">
        <f t="shared" ca="1" si="25"/>
        <v>0</v>
      </c>
      <c r="AO64" s="1243">
        <f t="shared" ca="1" si="25"/>
        <v>3.5714285714285712E-2</v>
      </c>
      <c r="AP64" s="1243">
        <f t="shared" ca="1" si="25"/>
        <v>0</v>
      </c>
      <c r="AQ64" s="1243">
        <f t="shared" ca="1" si="25"/>
        <v>0</v>
      </c>
      <c r="AR64" s="1243">
        <f t="shared" ca="1" si="25"/>
        <v>0</v>
      </c>
      <c r="AS64" s="1243">
        <f t="shared" ca="1" si="25"/>
        <v>0</v>
      </c>
      <c r="AT64" s="1243">
        <f t="shared" ca="1" si="10"/>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IF(CS26=0,0,CS26/$Q64)</f>
        <v>0</v>
      </c>
      <c r="CT64" s="1243">
        <f>IF(CT26=0,0,CT26/$Q64)</f>
        <v>0</v>
      </c>
      <c r="CU64" s="1243">
        <f>IF(CU26=0,0,CU26/$Q64)</f>
        <v>0</v>
      </c>
      <c r="CV64" s="1243">
        <f>IF(CV26=0,0,CV26/$Q64)</f>
        <v>0</v>
      </c>
      <c r="CW64" s="1243">
        <f>IF(CW26=0,0,CW26/$Q64)</f>
        <v>0</v>
      </c>
      <c r="CX64" s="1243">
        <f>IF(CX26=0,0,CX26/$Q64)</f>
        <v>0</v>
      </c>
      <c r="CY64" s="1243">
        <f>IF(CY26=0,0,CY26/$Q64)</f>
        <v>0</v>
      </c>
      <c r="CZ64" s="1243">
        <f>IF(CZ26=0,0,CZ26/$Q64)</f>
        <v>0</v>
      </c>
      <c r="DA64" s="1243">
        <f>IF(DA26=0,0,DA26/$Q64)</f>
        <v>0</v>
      </c>
      <c r="DB64" s="1243">
        <f>IF(DB26=0,0,DB26/$Q64)</f>
        <v>0</v>
      </c>
      <c r="DC64" s="1243">
        <f>IF(DC26=0,0,DC26/$Q64)</f>
        <v>0</v>
      </c>
      <c r="DD64" s="1243">
        <f>IF(DD26=0,0,DD26/$Q64)</f>
        <v>0</v>
      </c>
      <c r="DE64" s="1243">
        <f>IF(DE26=0,0,DE26/$Q64)</f>
        <v>0</v>
      </c>
      <c r="DF64" s="1243">
        <f>IF(DF26=0,0,DF26/$Q64)</f>
        <v>0</v>
      </c>
      <c r="DG64" s="1243">
        <f>IF(DG26=0,0,DG26/$Q64)</f>
        <v>0</v>
      </c>
      <c r="DH64" s="1243">
        <f>IF(DH26=0,0,DH26/$Q64)</f>
        <v>0</v>
      </c>
      <c r="DI64" s="1243">
        <f>IF(DI26=0,0,DI26/$Q64)</f>
        <v>0</v>
      </c>
      <c r="DJ64" s="1243">
        <f>IF(DJ26=0,0,DJ26/$Q64)</f>
        <v>0</v>
      </c>
      <c r="DK64" s="1243">
        <f>IF(DK26=0,0,DK26/$Q64)</f>
        <v>0</v>
      </c>
      <c r="DL64" s="1243">
        <f>IF(DL26=0,0,DL26/$Q64)</f>
        <v>0</v>
      </c>
      <c r="DM64" s="1243">
        <f>IF(DM26=0,0,DM26/$Q64)</f>
        <v>0</v>
      </c>
      <c r="DN64" s="1243">
        <f>IF(DN26=0,0,DN26/$Q64)</f>
        <v>0</v>
      </c>
      <c r="DO64" s="1243">
        <f>IF(DO26=0,0,DO26/$Q64)</f>
        <v>0</v>
      </c>
      <c r="DP64" s="1243">
        <f>IF(DP26=0,0,DP26/$Q64)</f>
        <v>0</v>
      </c>
      <c r="DQ64" s="1243">
        <f>IF(DQ26=0,0,DQ26/$Q64)</f>
        <v>0</v>
      </c>
      <c r="DR64" s="1243">
        <f>IF(DR26=0,0,DR26/$Q64)</f>
        <v>0</v>
      </c>
      <c r="DS64" s="1243">
        <f>IF(DS26=0,0,DS26/$Q64)</f>
        <v>0</v>
      </c>
      <c r="DT64" s="1243">
        <f>IF(DT26=0,0,DT26/$Q64)</f>
        <v>0</v>
      </c>
      <c r="DU64" s="1243">
        <f>IF(DU26=0,0,DU26/$Q64)</f>
        <v>0</v>
      </c>
      <c r="DV64" s="1243">
        <f>IF(DV26=0,0,DV26/$Q64)</f>
        <v>0</v>
      </c>
      <c r="DW64" s="1243">
        <f>IF(DW26=0,0,DW26/$Q64)</f>
        <v>0</v>
      </c>
      <c r="DX64" s="1243"/>
    </row>
    <row r="65" spans="2:128" x14ac:dyDescent="0.3">
      <c r="B65" s="89" vm="237">
        <f ca="1"/>
        <v>45883</v>
      </c>
      <c r="C65" s="89" vm="238">
        <f ca="1"/>
        <v>642.9</v>
      </c>
      <c r="D65" s="1225">
        <f t="shared" ca="1" si="0"/>
        <v>3.5903840149858796E-3</v>
      </c>
      <c r="E65" s="294" t="str" cm="1">
        <f t="array" aca="1" ref="E65" ca="1">_xlfn.IFS(D65&gt;ZPercent,"U",D65&lt;=-ZPercent,"D",TRUE,"Z")</f>
        <v>Z</v>
      </c>
      <c r="F65" s="294" t="str">
        <f t="shared" ca="1" si="1"/>
        <v>UZ</v>
      </c>
      <c r="G65" s="294" t="str">
        <f t="shared" ca="1" si="2"/>
        <v>UUZ</v>
      </c>
      <c r="H65" s="874" t="str">
        <f t="shared" ca="1" si="3"/>
        <v/>
      </c>
      <c r="J65" s="89" vm="239">
        <f ca="1"/>
        <v>45743</v>
      </c>
      <c r="K65" s="89" vm="240">
        <f ca="1"/>
        <v>642.5</v>
      </c>
      <c r="N65" s="874" t="str">
        <f ca="1">IF(F65=[2]Sheet1!O63,"","dif")</f>
        <v>dif</v>
      </c>
      <c r="O65" s="1216"/>
      <c r="P65" s="1208" cm="1">
        <f t="array" aca="1" ref="P65" ca="1">IFERROR(INDEX($S65:$AT65,
       MATCH(TRUE,
             (($R65=Q61)*
              (RIGHT($S$47:$AT$47,3)=NewMUP)*
              ($S65:$AT65&gt;0))&gt;0,
       0)),0)</f>
        <v>0</v>
      </c>
      <c r="Q65" s="1305">
        <f ca="1">SUM(S27:INDEX(23:23, COLUMN($S27) +$R$47 - 1))</f>
        <v>22</v>
      </c>
      <c r="R65" s="1249" t="str">
        <f t="shared" ca="1" si="6"/>
        <v>ZZU</v>
      </c>
      <c r="S65" s="1242">
        <f t="shared" ref="S65:AS65" ca="1" si="26">IF(S27=0,0,S27/$Q65)</f>
        <v>0</v>
      </c>
      <c r="T65" s="1243">
        <f t="shared" ca="1" si="26"/>
        <v>0</v>
      </c>
      <c r="U65" s="1243">
        <f t="shared" ca="1" si="26"/>
        <v>0</v>
      </c>
      <c r="V65" s="1243">
        <f t="shared" ca="1" si="26"/>
        <v>0</v>
      </c>
      <c r="W65" s="1243">
        <f t="shared" ca="1" si="26"/>
        <v>0</v>
      </c>
      <c r="X65" s="1243">
        <f t="shared" ca="1" si="26"/>
        <v>0</v>
      </c>
      <c r="Y65" s="1243">
        <f t="shared" ca="1" si="26"/>
        <v>0</v>
      </c>
      <c r="Z65" s="1243">
        <f t="shared" ca="1" si="26"/>
        <v>0</v>
      </c>
      <c r="AA65" s="1243">
        <f t="shared" ca="1" si="26"/>
        <v>0</v>
      </c>
      <c r="AB65" s="1243">
        <f t="shared" ca="1" si="26"/>
        <v>0</v>
      </c>
      <c r="AC65" s="1243">
        <f t="shared" ca="1" si="26"/>
        <v>0</v>
      </c>
      <c r="AD65" s="1243">
        <f t="shared" ca="1" si="26"/>
        <v>0</v>
      </c>
      <c r="AE65" s="1243">
        <f t="shared" ca="1" si="26"/>
        <v>0</v>
      </c>
      <c r="AF65" s="1243">
        <f t="shared" ca="1" si="26"/>
        <v>0</v>
      </c>
      <c r="AG65" s="1243">
        <f t="shared" ca="1" si="26"/>
        <v>0</v>
      </c>
      <c r="AH65" s="1243">
        <f t="shared" ca="1" si="26"/>
        <v>0</v>
      </c>
      <c r="AI65" s="1243">
        <f t="shared" ca="1" si="26"/>
        <v>9.0909090909090912E-2</v>
      </c>
      <c r="AJ65" s="1243">
        <f t="shared" ca="1" si="26"/>
        <v>0</v>
      </c>
      <c r="AK65" s="1243">
        <f t="shared" ca="1" si="26"/>
        <v>0</v>
      </c>
      <c r="AL65" s="1243">
        <f t="shared" ca="1" si="26"/>
        <v>0</v>
      </c>
      <c r="AM65" s="1243">
        <f t="shared" ca="1" si="26"/>
        <v>0</v>
      </c>
      <c r="AN65" s="1243">
        <f t="shared" ca="1" si="26"/>
        <v>0</v>
      </c>
      <c r="AO65" s="1243">
        <f t="shared" ca="1" si="26"/>
        <v>0</v>
      </c>
      <c r="AP65" s="1243">
        <f t="shared" ca="1" si="26"/>
        <v>0</v>
      </c>
      <c r="AQ65" s="1243">
        <f t="shared" ca="1" si="26"/>
        <v>0</v>
      </c>
      <c r="AR65" s="1243">
        <f t="shared" ca="1" si="26"/>
        <v>0</v>
      </c>
      <c r="AS65" s="1243">
        <f t="shared" ca="1" si="26"/>
        <v>0</v>
      </c>
      <c r="AT65" s="1243">
        <f t="shared" ca="1" si="10"/>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IF(CS27=0,0,CS27/$Q65)</f>
        <v>0</v>
      </c>
      <c r="CT65" s="1243">
        <f>IF(CT27=0,0,CT27/$Q65)</f>
        <v>0</v>
      </c>
      <c r="CU65" s="1243">
        <f>IF(CU27=0,0,CU27/$Q65)</f>
        <v>0</v>
      </c>
      <c r="CV65" s="1243">
        <f>IF(CV27=0,0,CV27/$Q65)</f>
        <v>0</v>
      </c>
      <c r="CW65" s="1243">
        <f>IF(CW27=0,0,CW27/$Q65)</f>
        <v>0</v>
      </c>
      <c r="CX65" s="1243">
        <f>IF(CX27=0,0,CX27/$Q65)</f>
        <v>0</v>
      </c>
      <c r="CY65" s="1243">
        <f>IF(CY27=0,0,CY27/$Q65)</f>
        <v>0</v>
      </c>
      <c r="CZ65" s="1243">
        <f>IF(CZ27=0,0,CZ27/$Q65)</f>
        <v>0</v>
      </c>
      <c r="DA65" s="1243">
        <f>IF(DA27=0,0,DA27/$Q65)</f>
        <v>0</v>
      </c>
      <c r="DB65" s="1243">
        <f>IF(DB27=0,0,DB27/$Q65)</f>
        <v>0</v>
      </c>
      <c r="DC65" s="1243">
        <f>IF(DC27=0,0,DC27/$Q65)</f>
        <v>0</v>
      </c>
      <c r="DD65" s="1243">
        <f>IF(DD27=0,0,DD27/$Q65)</f>
        <v>0</v>
      </c>
      <c r="DE65" s="1243">
        <f>IF(DE27=0,0,DE27/$Q65)</f>
        <v>0</v>
      </c>
      <c r="DF65" s="1243">
        <f>IF(DF27=0,0,DF27/$Q65)</f>
        <v>0</v>
      </c>
      <c r="DG65" s="1243">
        <f>IF(DG27=0,0,DG27/$Q65)</f>
        <v>0</v>
      </c>
      <c r="DH65" s="1243">
        <f>IF(DH27=0,0,DH27/$Q65)</f>
        <v>0</v>
      </c>
      <c r="DI65" s="1243">
        <f>IF(DI27=0,0,DI27/$Q65)</f>
        <v>0</v>
      </c>
      <c r="DJ65" s="1243">
        <f>IF(DJ27=0,0,DJ27/$Q65)</f>
        <v>0</v>
      </c>
      <c r="DK65" s="1243">
        <f>IF(DK27=0,0,DK27/$Q65)</f>
        <v>0</v>
      </c>
      <c r="DL65" s="1243">
        <f>IF(DL27=0,0,DL27/$Q65)</f>
        <v>0</v>
      </c>
      <c r="DM65" s="1243">
        <f>IF(DM27=0,0,DM27/$Q65)</f>
        <v>0</v>
      </c>
      <c r="DN65" s="1243">
        <f>IF(DN27=0,0,DN27/$Q65)</f>
        <v>0</v>
      </c>
      <c r="DO65" s="1243">
        <f>IF(DO27=0,0,DO27/$Q65)</f>
        <v>0</v>
      </c>
      <c r="DP65" s="1243">
        <f>IF(DP27=0,0,DP27/$Q65)</f>
        <v>0</v>
      </c>
      <c r="DQ65" s="1243">
        <f>IF(DQ27=0,0,DQ27/$Q65)</f>
        <v>0</v>
      </c>
      <c r="DR65" s="1243">
        <f>IF(DR27=0,0,DR27/$Q65)</f>
        <v>0</v>
      </c>
      <c r="DS65" s="1243">
        <f>IF(DS27=0,0,DS27/$Q65)</f>
        <v>0</v>
      </c>
      <c r="DT65" s="1243">
        <f>IF(DT27=0,0,DT27/$Q65)</f>
        <v>0</v>
      </c>
      <c r="DU65" s="1243">
        <f>IF(DU27=0,0,DU27/$Q65)</f>
        <v>0</v>
      </c>
      <c r="DV65" s="1243">
        <f>IF(DV27=0,0,DV27/$Q65)</f>
        <v>0</v>
      </c>
      <c r="DW65" s="1243">
        <f>IF(DW27=0,0,DW27/$Q65)</f>
        <v>0</v>
      </c>
      <c r="DX65" s="1243"/>
    </row>
    <row r="66" spans="2:128" x14ac:dyDescent="0.3">
      <c r="B66" s="89" vm="241">
        <f ca="1"/>
        <v>45882</v>
      </c>
      <c r="C66" s="89" vm="242">
        <f ca="1"/>
        <v>640.6</v>
      </c>
      <c r="D66" s="1225">
        <f t="shared" ca="1" si="0"/>
        <v>1.0569490455907944E-2</v>
      </c>
      <c r="E66" s="294" t="str" cm="1">
        <f t="array" aca="1" ref="E66" ca="1">_xlfn.IFS(D66&gt;ZPercent,"U",D66&lt;=-ZPercent,"D",TRUE,"Z")</f>
        <v>U</v>
      </c>
      <c r="F66" s="294" t="str">
        <f t="shared" ca="1" si="1"/>
        <v>UU</v>
      </c>
      <c r="G66" s="294" t="str">
        <f t="shared" ca="1" si="2"/>
        <v>UUU</v>
      </c>
      <c r="H66" s="874" t="str">
        <f t="shared" ca="1" si="3"/>
        <v/>
      </c>
      <c r="J66" s="89" vm="243">
        <f ca="1"/>
        <v>45744</v>
      </c>
      <c r="K66" s="89" vm="244">
        <f ca="1"/>
        <v>625.6</v>
      </c>
      <c r="N66" s="874" t="str">
        <f ca="1">IF(F66=[2]Sheet1!O64,"","dif")</f>
        <v>dif</v>
      </c>
      <c r="O66" s="1216"/>
      <c r="P66" s="1208" cm="1">
        <f t="array" aca="1" ref="P66" ca="1">IFERROR(INDEX($S66:$AT66,
       MATCH(TRUE,
             (($R66=Q62)*
              (RIGHT($S$47:$AT$47,3)=NewMUP)*
              ($S66:$AT66&gt;0))&gt;0,
       0)),0)</f>
        <v>0</v>
      </c>
      <c r="Q66" s="1305">
        <f ca="1">SUM(S28:INDEX(24:24, COLUMN($S28) +$R$47 - 1))</f>
        <v>15</v>
      </c>
      <c r="R66" s="1249" t="str">
        <f t="shared" ca="1" si="6"/>
        <v>DZZ</v>
      </c>
      <c r="S66" s="1242">
        <f t="shared" ref="S66:AS66" ca="1" si="27">IF(S28=0,0,S28/$Q66)</f>
        <v>0</v>
      </c>
      <c r="T66" s="1243">
        <f t="shared" ca="1" si="27"/>
        <v>0</v>
      </c>
      <c r="U66" s="1243">
        <f t="shared" ca="1" si="27"/>
        <v>0</v>
      </c>
      <c r="V66" s="1243">
        <f t="shared" ca="1" si="27"/>
        <v>0</v>
      </c>
      <c r="W66" s="1243">
        <f t="shared" ca="1" si="27"/>
        <v>0</v>
      </c>
      <c r="X66" s="1243">
        <f t="shared" ca="1" si="27"/>
        <v>0</v>
      </c>
      <c r="Y66" s="1243">
        <f t="shared" ca="1" si="27"/>
        <v>0</v>
      </c>
      <c r="Z66" s="1243">
        <f t="shared" ca="1" si="27"/>
        <v>0</v>
      </c>
      <c r="AA66" s="1243">
        <f t="shared" ca="1" si="27"/>
        <v>0</v>
      </c>
      <c r="AB66" s="1243">
        <f t="shared" ca="1" si="27"/>
        <v>0</v>
      </c>
      <c r="AC66" s="1243">
        <f t="shared" ca="1" si="27"/>
        <v>0</v>
      </c>
      <c r="AD66" s="1243">
        <f t="shared" ca="1" si="27"/>
        <v>0</v>
      </c>
      <c r="AE66" s="1243">
        <f t="shared" ca="1" si="27"/>
        <v>0</v>
      </c>
      <c r="AF66" s="1243">
        <f t="shared" ca="1" si="27"/>
        <v>0</v>
      </c>
      <c r="AG66" s="1243">
        <f t="shared" ca="1" si="27"/>
        <v>0</v>
      </c>
      <c r="AH66" s="1243">
        <f t="shared" ca="1" si="27"/>
        <v>0</v>
      </c>
      <c r="AI66" s="1243">
        <f t="shared" ca="1" si="27"/>
        <v>0</v>
      </c>
      <c r="AJ66" s="1243">
        <f t="shared" ca="1" si="27"/>
        <v>0.13333333333333333</v>
      </c>
      <c r="AK66" s="1243">
        <f t="shared" ca="1" si="27"/>
        <v>0</v>
      </c>
      <c r="AL66" s="1243">
        <f t="shared" ca="1" si="27"/>
        <v>0</v>
      </c>
      <c r="AM66" s="1243">
        <f t="shared" ca="1" si="27"/>
        <v>0</v>
      </c>
      <c r="AN66" s="1243">
        <f t="shared" ca="1" si="27"/>
        <v>0</v>
      </c>
      <c r="AO66" s="1243">
        <f t="shared" ca="1" si="27"/>
        <v>0</v>
      </c>
      <c r="AP66" s="1243">
        <f t="shared" ca="1" si="27"/>
        <v>0</v>
      </c>
      <c r="AQ66" s="1243">
        <f t="shared" ca="1" si="27"/>
        <v>0</v>
      </c>
      <c r="AR66" s="1243">
        <f t="shared" ca="1" si="27"/>
        <v>0</v>
      </c>
      <c r="AS66" s="1243">
        <f t="shared" ca="1" si="27"/>
        <v>0</v>
      </c>
      <c r="AT66" s="1243">
        <f t="shared" ca="1" si="10"/>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IF(CS28=0,0,CS28/$Q66)</f>
        <v>0</v>
      </c>
      <c r="CT66" s="1243">
        <f>IF(CT28=0,0,CT28/$Q66)</f>
        <v>0</v>
      </c>
      <c r="CU66" s="1243">
        <f>IF(CU28=0,0,CU28/$Q66)</f>
        <v>0</v>
      </c>
      <c r="CV66" s="1243">
        <f>IF(CV28=0,0,CV28/$Q66)</f>
        <v>0</v>
      </c>
      <c r="CW66" s="1243">
        <f>IF(CW28=0,0,CW28/$Q66)</f>
        <v>0</v>
      </c>
      <c r="CX66" s="1243">
        <f>IF(CX28=0,0,CX28/$Q66)</f>
        <v>0</v>
      </c>
      <c r="CY66" s="1243">
        <f>IF(CY28=0,0,CY28/$Q66)</f>
        <v>0</v>
      </c>
      <c r="CZ66" s="1243">
        <f>IF(CZ28=0,0,CZ28/$Q66)</f>
        <v>0</v>
      </c>
      <c r="DA66" s="1243">
        <f>IF(DA28=0,0,DA28/$Q66)</f>
        <v>0</v>
      </c>
      <c r="DB66" s="1243">
        <f>IF(DB28=0,0,DB28/$Q66)</f>
        <v>0</v>
      </c>
      <c r="DC66" s="1243">
        <f>IF(DC28=0,0,DC28/$Q66)</f>
        <v>0</v>
      </c>
      <c r="DD66" s="1243">
        <f>IF(DD28=0,0,DD28/$Q66)</f>
        <v>0</v>
      </c>
      <c r="DE66" s="1243">
        <f>IF(DE28=0,0,DE28/$Q66)</f>
        <v>0</v>
      </c>
      <c r="DF66" s="1243">
        <f>IF(DF28=0,0,DF28/$Q66)</f>
        <v>0</v>
      </c>
      <c r="DG66" s="1243">
        <f>IF(DG28=0,0,DG28/$Q66)</f>
        <v>0</v>
      </c>
      <c r="DH66" s="1243">
        <f>IF(DH28=0,0,DH28/$Q66)</f>
        <v>0</v>
      </c>
      <c r="DI66" s="1243">
        <f>IF(DI28=0,0,DI28/$Q66)</f>
        <v>0</v>
      </c>
      <c r="DJ66" s="1243">
        <f>IF(DJ28=0,0,DJ28/$Q66)</f>
        <v>0</v>
      </c>
      <c r="DK66" s="1243">
        <f>IF(DK28=0,0,DK28/$Q66)</f>
        <v>0</v>
      </c>
      <c r="DL66" s="1243">
        <f>IF(DL28=0,0,DL28/$Q66)</f>
        <v>0</v>
      </c>
      <c r="DM66" s="1243">
        <f>IF(DM28=0,0,DM28/$Q66)</f>
        <v>0</v>
      </c>
      <c r="DN66" s="1243">
        <f>IF(DN28=0,0,DN28/$Q66)</f>
        <v>0</v>
      </c>
      <c r="DO66" s="1243">
        <f>IF(DO28=0,0,DO28/$Q66)</f>
        <v>0</v>
      </c>
      <c r="DP66" s="1243">
        <f>IF(DP28=0,0,DP28/$Q66)</f>
        <v>0</v>
      </c>
      <c r="DQ66" s="1243">
        <f>IF(DQ28=0,0,DQ28/$Q66)</f>
        <v>0</v>
      </c>
      <c r="DR66" s="1243">
        <f>IF(DR28=0,0,DR28/$Q66)</f>
        <v>0</v>
      </c>
      <c r="DS66" s="1243">
        <f>IF(DS28=0,0,DS28/$Q66)</f>
        <v>0</v>
      </c>
      <c r="DT66" s="1243">
        <f>IF(DT28=0,0,DT28/$Q66)</f>
        <v>0</v>
      </c>
      <c r="DU66" s="1243">
        <f>IF(DU28=0,0,DU28/$Q66)</f>
        <v>0</v>
      </c>
      <c r="DV66" s="1243">
        <f>IF(DV28=0,0,DV28/$Q66)</f>
        <v>0</v>
      </c>
      <c r="DW66" s="1243">
        <f>IF(DW28=0,0,DW28/$Q66)</f>
        <v>0</v>
      </c>
      <c r="DX66" s="1243"/>
    </row>
    <row r="67" spans="2:128" x14ac:dyDescent="0.3">
      <c r="B67" s="89" vm="245">
        <f ca="1"/>
        <v>45881</v>
      </c>
      <c r="C67" s="89" vm="246">
        <f ca="1"/>
        <v>633.9</v>
      </c>
      <c r="D67" s="1225">
        <f t="shared" ca="1" si="0"/>
        <v>1.1004784688995179E-2</v>
      </c>
      <c r="E67" s="294" t="str" cm="1">
        <f t="array" aca="1" ref="E67" ca="1">_xlfn.IFS(D67&gt;ZPercent,"U",D67&lt;=-ZPercent,"D",TRUE,"Z")</f>
        <v>U</v>
      </c>
      <c r="F67" s="294" t="str">
        <f t="shared" ca="1" si="1"/>
        <v>UU</v>
      </c>
      <c r="G67" s="294" t="str">
        <f t="shared" ca="1" si="2"/>
        <v>UUU</v>
      </c>
      <c r="H67" s="874" t="str">
        <f t="shared" ca="1" si="3"/>
        <v/>
      </c>
      <c r="J67" s="89" vm="247">
        <f ca="1"/>
        <v>45747</v>
      </c>
      <c r="K67" s="89" vm="248">
        <f ca="1"/>
        <v>606</v>
      </c>
      <c r="N67" s="874" t="str">
        <f ca="1">IF(F67=[2]Sheet1!O65,"","dif")</f>
        <v>dif</v>
      </c>
      <c r="O67" s="1216"/>
      <c r="P67" s="1208" cm="1">
        <f t="array" aca="1" ref="P67" ca="1">IFERROR(INDEX($S67:$AT67,
       MATCH(TRUE,
             (($R67=Q63)*
              (RIGHT($S$47:$AT$47,3)=NewMUP)*
              ($S67:$AT67&gt;0))&gt;0,
       0)),0)</f>
        <v>0</v>
      </c>
      <c r="Q67" s="1305">
        <f ca="1">SUM(S29:INDEX(25:25, COLUMN($S29) +$R$47 - 1))</f>
        <v>14</v>
      </c>
      <c r="R67" s="1249" t="str">
        <f t="shared" ca="1" si="6"/>
        <v>UDZ</v>
      </c>
      <c r="S67" s="1242">
        <f t="shared" ref="S67:AS67" ca="1" si="28">IF(S29=0,0,S29/$Q67)</f>
        <v>0</v>
      </c>
      <c r="T67" s="1243">
        <f t="shared" ca="1" si="28"/>
        <v>0</v>
      </c>
      <c r="U67" s="1243">
        <f t="shared" ca="1" si="28"/>
        <v>0</v>
      </c>
      <c r="V67" s="1243">
        <f t="shared" ca="1" si="28"/>
        <v>0</v>
      </c>
      <c r="W67" s="1243">
        <f t="shared" ca="1" si="28"/>
        <v>0</v>
      </c>
      <c r="X67" s="1243">
        <f t="shared" ca="1" si="28"/>
        <v>0</v>
      </c>
      <c r="Y67" s="1243">
        <f t="shared" ca="1" si="28"/>
        <v>0</v>
      </c>
      <c r="Z67" s="1243">
        <f t="shared" ca="1" si="28"/>
        <v>0</v>
      </c>
      <c r="AA67" s="1243">
        <f t="shared" ca="1" si="28"/>
        <v>0</v>
      </c>
      <c r="AB67" s="1243">
        <f t="shared" ca="1" si="28"/>
        <v>0</v>
      </c>
      <c r="AC67" s="1243">
        <f t="shared" ca="1" si="28"/>
        <v>0</v>
      </c>
      <c r="AD67" s="1243">
        <f t="shared" ca="1" si="28"/>
        <v>0</v>
      </c>
      <c r="AE67" s="1243">
        <f t="shared" ca="1" si="28"/>
        <v>0</v>
      </c>
      <c r="AF67" s="1243">
        <f t="shared" ca="1" si="28"/>
        <v>0</v>
      </c>
      <c r="AG67" s="1243">
        <f t="shared" ca="1" si="28"/>
        <v>0.14285714285714285</v>
      </c>
      <c r="AH67" s="1243">
        <f t="shared" ca="1" si="28"/>
        <v>0</v>
      </c>
      <c r="AI67" s="1243">
        <f t="shared" ca="1" si="28"/>
        <v>0</v>
      </c>
      <c r="AJ67" s="1243">
        <f t="shared" ca="1" si="28"/>
        <v>0</v>
      </c>
      <c r="AK67" s="1243">
        <f t="shared" ca="1" si="28"/>
        <v>7.1428571428571425E-2</v>
      </c>
      <c r="AL67" s="1243">
        <f t="shared" ca="1" si="28"/>
        <v>0</v>
      </c>
      <c r="AM67" s="1243">
        <f t="shared" ca="1" si="28"/>
        <v>7.1428571428571425E-2</v>
      </c>
      <c r="AN67" s="1243">
        <f t="shared" ca="1" si="28"/>
        <v>0</v>
      </c>
      <c r="AO67" s="1243">
        <f t="shared" ca="1" si="28"/>
        <v>0</v>
      </c>
      <c r="AP67" s="1243">
        <f t="shared" ca="1" si="28"/>
        <v>0</v>
      </c>
      <c r="AQ67" s="1243">
        <f t="shared" ca="1" si="28"/>
        <v>0</v>
      </c>
      <c r="AR67" s="1243">
        <f t="shared" ca="1" si="28"/>
        <v>0</v>
      </c>
      <c r="AS67" s="1243">
        <f t="shared" ca="1" si="28"/>
        <v>0</v>
      </c>
      <c r="AT67" s="1243">
        <f t="shared" ca="1" si="10"/>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IF(CS29=0,0,CS29/$Q67)</f>
        <v>0</v>
      </c>
      <c r="CT67" s="1243">
        <f>IF(CT29=0,0,CT29/$Q67)</f>
        <v>0</v>
      </c>
      <c r="CU67" s="1243">
        <f>IF(CU29=0,0,CU29/$Q67)</f>
        <v>0</v>
      </c>
      <c r="CV67" s="1243">
        <f>IF(CV29=0,0,CV29/$Q67)</f>
        <v>0</v>
      </c>
      <c r="CW67" s="1243">
        <f>IF(CW29=0,0,CW29/$Q67)</f>
        <v>0</v>
      </c>
      <c r="CX67" s="1243">
        <f>IF(CX29=0,0,CX29/$Q67)</f>
        <v>0</v>
      </c>
      <c r="CY67" s="1243">
        <f>IF(CY29=0,0,CY29/$Q67)</f>
        <v>0</v>
      </c>
      <c r="CZ67" s="1243">
        <f>IF(CZ29=0,0,CZ29/$Q67)</f>
        <v>0</v>
      </c>
      <c r="DA67" s="1243">
        <f>IF(DA29=0,0,DA29/$Q67)</f>
        <v>0</v>
      </c>
      <c r="DB67" s="1243">
        <f>IF(DB29=0,0,DB29/$Q67)</f>
        <v>0</v>
      </c>
      <c r="DC67" s="1243">
        <f>IF(DC29=0,0,DC29/$Q67)</f>
        <v>0</v>
      </c>
      <c r="DD67" s="1243">
        <f>IF(DD29=0,0,DD29/$Q67)</f>
        <v>0</v>
      </c>
      <c r="DE67" s="1243">
        <f>IF(DE29=0,0,DE29/$Q67)</f>
        <v>0</v>
      </c>
      <c r="DF67" s="1243">
        <f>IF(DF29=0,0,DF29/$Q67)</f>
        <v>0</v>
      </c>
      <c r="DG67" s="1243">
        <f>IF(DG29=0,0,DG29/$Q67)</f>
        <v>0</v>
      </c>
      <c r="DH67" s="1243">
        <f>IF(DH29=0,0,DH29/$Q67)</f>
        <v>0</v>
      </c>
      <c r="DI67" s="1243">
        <f>IF(DI29=0,0,DI29/$Q67)</f>
        <v>0</v>
      </c>
      <c r="DJ67" s="1243">
        <f>IF(DJ29=0,0,DJ29/$Q67)</f>
        <v>0</v>
      </c>
      <c r="DK67" s="1243">
        <f>IF(DK29=0,0,DK29/$Q67)</f>
        <v>0</v>
      </c>
      <c r="DL67" s="1243">
        <f>IF(DL29=0,0,DL29/$Q67)</f>
        <v>0</v>
      </c>
      <c r="DM67" s="1243">
        <f>IF(DM29=0,0,DM29/$Q67)</f>
        <v>0</v>
      </c>
      <c r="DN67" s="1243">
        <f>IF(DN29=0,0,DN29/$Q67)</f>
        <v>0</v>
      </c>
      <c r="DO67" s="1243">
        <f>IF(DO29=0,0,DO29/$Q67)</f>
        <v>0</v>
      </c>
      <c r="DP67" s="1243">
        <f>IF(DP29=0,0,DP29/$Q67)</f>
        <v>0</v>
      </c>
      <c r="DQ67" s="1243">
        <f>IF(DQ29=0,0,DQ29/$Q67)</f>
        <v>0</v>
      </c>
      <c r="DR67" s="1243">
        <f>IF(DR29=0,0,DR29/$Q67)</f>
        <v>0</v>
      </c>
      <c r="DS67" s="1243">
        <f>IF(DS29=0,0,DS29/$Q67)</f>
        <v>0</v>
      </c>
      <c r="DT67" s="1243">
        <f>IF(DT29=0,0,DT29/$Q67)</f>
        <v>0</v>
      </c>
      <c r="DU67" s="1243">
        <f>IF(DU29=0,0,DU29/$Q67)</f>
        <v>0</v>
      </c>
      <c r="DV67" s="1243">
        <f>IF(DV29=0,0,DV29/$Q67)</f>
        <v>0</v>
      </c>
      <c r="DW67" s="1243">
        <f>IF(DW29=0,0,DW29/$Q67)</f>
        <v>0</v>
      </c>
      <c r="DX67" s="1243"/>
    </row>
    <row r="68" spans="2:128" x14ac:dyDescent="0.3">
      <c r="B68" s="89" vm="249">
        <f ca="1"/>
        <v>45880</v>
      </c>
      <c r="C68" s="89" vm="250">
        <f ca="1"/>
        <v>627</v>
      </c>
      <c r="D68" s="1225">
        <f t="shared" ca="1" si="0"/>
        <v>1.6372183498135878E-2</v>
      </c>
      <c r="E68" s="294" t="str" cm="1">
        <f t="array" aca="1" ref="E68" ca="1">_xlfn.IFS(D68&gt;ZPercent,"U",D68&lt;=-ZPercent,"D",TRUE,"Z")</f>
        <v>U</v>
      </c>
      <c r="F68" s="294" t="str">
        <f t="shared" ca="1" si="1"/>
        <v>UU</v>
      </c>
      <c r="G68" s="294" t="str">
        <f t="shared" ca="1" si="2"/>
        <v>UUU</v>
      </c>
      <c r="H68" s="874" t="str">
        <f t="shared" ca="1" si="3"/>
        <v/>
      </c>
      <c r="J68" s="89" vm="251">
        <f ca="1"/>
        <v>45748</v>
      </c>
      <c r="K68" s="89" vm="252">
        <f ca="1"/>
        <v>619.70000000000005</v>
      </c>
      <c r="N68" s="874" t="str">
        <f ca="1">IF(F68=[2]Sheet1!O66,"","dif")</f>
        <v>dif</v>
      </c>
      <c r="O68" s="1216"/>
      <c r="P68" s="1208" cm="1">
        <f t="array" aca="1" ref="P68" ca="1">IFERROR(INDEX($S68:$AT68,
       MATCH(TRUE,
             (($R68=Q64)*
              (RIGHT($S$47:$AT$47,3)=NewMUP)*
              ($S68:$AT68&gt;0))&gt;0,
       0)),0)</f>
        <v>0</v>
      </c>
      <c r="Q68" s="1305">
        <f ca="1">SUM(S30:INDEX(26:26, COLUMN($S30) +$R$47 - 1))</f>
        <v>14</v>
      </c>
      <c r="R68" s="1249" t="str">
        <f t="shared" ca="1" si="6"/>
        <v>DZU</v>
      </c>
      <c r="S68" s="1242">
        <f t="shared" ref="S68:AS68" ca="1" si="29">IF(S30=0,0,S30/$Q68)</f>
        <v>0</v>
      </c>
      <c r="T68" s="1243">
        <f t="shared" ca="1" si="29"/>
        <v>0</v>
      </c>
      <c r="U68" s="1243">
        <f t="shared" ca="1" si="29"/>
        <v>0</v>
      </c>
      <c r="V68" s="1243">
        <f t="shared" ca="1" si="29"/>
        <v>0</v>
      </c>
      <c r="W68" s="1243">
        <f t="shared" ca="1" si="29"/>
        <v>0</v>
      </c>
      <c r="X68" s="1243">
        <f t="shared" ca="1" si="29"/>
        <v>7.1428571428571425E-2</v>
      </c>
      <c r="Y68" s="1243">
        <f t="shared" ca="1" si="29"/>
        <v>0</v>
      </c>
      <c r="Z68" s="1243">
        <f t="shared" ca="1" si="29"/>
        <v>0</v>
      </c>
      <c r="AA68" s="1243">
        <f t="shared" ca="1" si="29"/>
        <v>0</v>
      </c>
      <c r="AB68" s="1243">
        <f t="shared" ca="1" si="29"/>
        <v>0</v>
      </c>
      <c r="AC68" s="1243">
        <f t="shared" ca="1" si="29"/>
        <v>0</v>
      </c>
      <c r="AD68" s="1243">
        <f t="shared" ca="1" si="29"/>
        <v>0.21428571428571427</v>
      </c>
      <c r="AE68" s="1243">
        <f t="shared" ca="1" si="29"/>
        <v>0</v>
      </c>
      <c r="AF68" s="1243">
        <f t="shared" ca="1" si="29"/>
        <v>0</v>
      </c>
      <c r="AG68" s="1243">
        <f t="shared" ca="1" si="29"/>
        <v>0</v>
      </c>
      <c r="AH68" s="1243">
        <f t="shared" ca="1" si="29"/>
        <v>0</v>
      </c>
      <c r="AI68" s="1243">
        <f t="shared" ca="1" si="29"/>
        <v>0</v>
      </c>
      <c r="AJ68" s="1243">
        <f t="shared" ca="1" si="29"/>
        <v>0</v>
      </c>
      <c r="AK68" s="1243">
        <f t="shared" ca="1" si="29"/>
        <v>0</v>
      </c>
      <c r="AL68" s="1243">
        <f t="shared" ca="1" si="29"/>
        <v>0</v>
      </c>
      <c r="AM68" s="1243">
        <f t="shared" ca="1" si="29"/>
        <v>0</v>
      </c>
      <c r="AN68" s="1243">
        <f t="shared" ca="1" si="29"/>
        <v>0</v>
      </c>
      <c r="AO68" s="1243">
        <f t="shared" ca="1" si="29"/>
        <v>0</v>
      </c>
      <c r="AP68" s="1243">
        <f t="shared" ca="1" si="29"/>
        <v>0</v>
      </c>
      <c r="AQ68" s="1243">
        <f t="shared" ca="1" si="29"/>
        <v>0</v>
      </c>
      <c r="AR68" s="1243">
        <f t="shared" ca="1" si="29"/>
        <v>0</v>
      </c>
      <c r="AS68" s="1243">
        <f t="shared" ca="1" si="29"/>
        <v>0</v>
      </c>
      <c r="AT68" s="1243">
        <f t="shared" ca="1" si="10"/>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IF(CS30=0,0,CS30/$Q68)</f>
        <v>0</v>
      </c>
      <c r="CT68" s="1243">
        <f>IF(CT30=0,0,CT30/$Q68)</f>
        <v>0</v>
      </c>
      <c r="CU68" s="1243">
        <f>IF(CU30=0,0,CU30/$Q68)</f>
        <v>0</v>
      </c>
      <c r="CV68" s="1243">
        <f>IF(CV30=0,0,CV30/$Q68)</f>
        <v>0</v>
      </c>
      <c r="CW68" s="1243">
        <f>IF(CW30=0,0,CW30/$Q68)</f>
        <v>0</v>
      </c>
      <c r="CX68" s="1243">
        <f>IF(CX30=0,0,CX30/$Q68)</f>
        <v>0</v>
      </c>
      <c r="CY68" s="1243">
        <f>IF(CY30=0,0,CY30/$Q68)</f>
        <v>0</v>
      </c>
      <c r="CZ68" s="1243">
        <f>IF(CZ30=0,0,CZ30/$Q68)</f>
        <v>0</v>
      </c>
      <c r="DA68" s="1243">
        <f>IF(DA30=0,0,DA30/$Q68)</f>
        <v>0</v>
      </c>
      <c r="DB68" s="1243">
        <f>IF(DB30=0,0,DB30/$Q68)</f>
        <v>0</v>
      </c>
      <c r="DC68" s="1243">
        <f>IF(DC30=0,0,DC30/$Q68)</f>
        <v>0</v>
      </c>
      <c r="DD68" s="1243">
        <f>IF(DD30=0,0,DD30/$Q68)</f>
        <v>0</v>
      </c>
      <c r="DE68" s="1243">
        <f>IF(DE30=0,0,DE30/$Q68)</f>
        <v>0</v>
      </c>
      <c r="DF68" s="1243">
        <f>IF(DF30=0,0,DF30/$Q68)</f>
        <v>0</v>
      </c>
      <c r="DG68" s="1243">
        <f>IF(DG30=0,0,DG30/$Q68)</f>
        <v>0</v>
      </c>
      <c r="DH68" s="1243">
        <f>IF(DH30=0,0,DH30/$Q68)</f>
        <v>0</v>
      </c>
      <c r="DI68" s="1243">
        <f>IF(DI30=0,0,DI30/$Q68)</f>
        <v>0</v>
      </c>
      <c r="DJ68" s="1243">
        <f>IF(DJ30=0,0,DJ30/$Q68)</f>
        <v>0</v>
      </c>
      <c r="DK68" s="1243">
        <f>IF(DK30=0,0,DK30/$Q68)</f>
        <v>0</v>
      </c>
      <c r="DL68" s="1243">
        <f>IF(DL30=0,0,DL30/$Q68)</f>
        <v>0</v>
      </c>
      <c r="DM68" s="1243">
        <f>IF(DM30=0,0,DM30/$Q68)</f>
        <v>0</v>
      </c>
      <c r="DN68" s="1243">
        <f>IF(DN30=0,0,DN30/$Q68)</f>
        <v>0</v>
      </c>
      <c r="DO68" s="1243">
        <f>IF(DO30=0,0,DO30/$Q68)</f>
        <v>0</v>
      </c>
      <c r="DP68" s="1243">
        <f>IF(DP30=0,0,DP30/$Q68)</f>
        <v>0</v>
      </c>
      <c r="DQ68" s="1243">
        <f>IF(DQ30=0,0,DQ30/$Q68)</f>
        <v>0</v>
      </c>
      <c r="DR68" s="1243">
        <f>IF(DR30=0,0,DR30/$Q68)</f>
        <v>0</v>
      </c>
      <c r="DS68" s="1243">
        <f>IF(DS30=0,0,DS30/$Q68)</f>
        <v>0</v>
      </c>
      <c r="DT68" s="1243">
        <f>IF(DT30=0,0,DT30/$Q68)</f>
        <v>0</v>
      </c>
      <c r="DU68" s="1243">
        <f>IF(DU30=0,0,DU30/$Q68)</f>
        <v>0</v>
      </c>
      <c r="DV68" s="1243">
        <f>IF(DV30=0,0,DV30/$Q68)</f>
        <v>0</v>
      </c>
      <c r="DW68" s="1243">
        <f>IF(DW30=0,0,DW30/$Q68)</f>
        <v>0</v>
      </c>
      <c r="DX68" s="1243"/>
    </row>
    <row r="69" spans="2:128" x14ac:dyDescent="0.3">
      <c r="B69" s="89" vm="253">
        <f ca="1"/>
        <v>45877</v>
      </c>
      <c r="C69" s="89" vm="254">
        <f ca="1"/>
        <v>616.9</v>
      </c>
      <c r="D69" s="1225">
        <f t="shared" ref="D69:D132" ca="1" si="30">IFERROR((C69-C70)/C70,0)</f>
        <v>1.0152284263959279E-2</v>
      </c>
      <c r="E69" s="294" t="str" cm="1">
        <f t="array" aca="1" ref="E69" ca="1">_xlfn.IFS(D69&gt;ZPercent,"U",D69&lt;=-ZPercent,"D",TRUE,"Z")</f>
        <v>U</v>
      </c>
      <c r="F69" s="294" t="str">
        <f t="shared" ca="1" si="1"/>
        <v>UU</v>
      </c>
      <c r="G69" s="294" t="str">
        <f t="shared" ca="1" si="2"/>
        <v>DUU</v>
      </c>
      <c r="H69" s="874" t="str">
        <f t="shared" ca="1" si="3"/>
        <v/>
      </c>
      <c r="J69" s="89" vm="255">
        <f ca="1"/>
        <v>45749</v>
      </c>
      <c r="K69" s="89" vm="256">
        <f ca="1"/>
        <v>616.29999999999995</v>
      </c>
      <c r="N69" s="874" t="str">
        <f ca="1">IF(F69=[2]Sheet1!O67,"","dif")</f>
        <v>dif</v>
      </c>
      <c r="O69" s="1216"/>
      <c r="P69" s="1208" cm="1">
        <f t="array" aca="1" ref="P69" ca="1">IFERROR(INDEX($S69:$AT69,
       MATCH(TRUE,
             (($R69=Q65)*
              (RIGHT($S$47:$AT$47,3)=NewMUP)*
              ($S69:$AT69&gt;0))&gt;0,
       0)),0)</f>
        <v>0</v>
      </c>
      <c r="Q69" s="1305">
        <f ca="1">SUM(S31:INDEX(27:27, COLUMN($S31) +$R$47 - 1))</f>
        <v>16</v>
      </c>
      <c r="R69" s="1249" t="str">
        <f t="shared" ca="1" si="6"/>
        <v>ZDZ</v>
      </c>
      <c r="S69" s="1242">
        <f t="shared" ref="S69:AS69" ca="1" si="31">IF(S31=0,0,S31/$Q69)</f>
        <v>0</v>
      </c>
      <c r="T69" s="1243">
        <f t="shared" ca="1" si="31"/>
        <v>0</v>
      </c>
      <c r="U69" s="1243">
        <f t="shared" ca="1" si="31"/>
        <v>0</v>
      </c>
      <c r="V69" s="1243">
        <f t="shared" ca="1" si="31"/>
        <v>0</v>
      </c>
      <c r="W69" s="1243">
        <f t="shared" ca="1" si="31"/>
        <v>0</v>
      </c>
      <c r="X69" s="1243">
        <f t="shared" ca="1" si="31"/>
        <v>0</v>
      </c>
      <c r="Y69" s="1243">
        <f t="shared" ca="1" si="31"/>
        <v>0</v>
      </c>
      <c r="Z69" s="1243">
        <f t="shared" ca="1" si="31"/>
        <v>0</v>
      </c>
      <c r="AA69" s="1243">
        <f t="shared" ca="1" si="31"/>
        <v>0</v>
      </c>
      <c r="AB69" s="1243">
        <f t="shared" ca="1" si="31"/>
        <v>0</v>
      </c>
      <c r="AC69" s="1243">
        <f t="shared" ca="1" si="31"/>
        <v>0</v>
      </c>
      <c r="AD69" s="1243">
        <f t="shared" ca="1" si="31"/>
        <v>0</v>
      </c>
      <c r="AE69" s="1243">
        <f t="shared" ca="1" si="31"/>
        <v>0</v>
      </c>
      <c r="AF69" s="1243">
        <f t="shared" ca="1" si="31"/>
        <v>0</v>
      </c>
      <c r="AG69" s="1243">
        <f t="shared" ca="1" si="31"/>
        <v>0</v>
      </c>
      <c r="AH69" s="1243">
        <f t="shared" ca="1" si="31"/>
        <v>0</v>
      </c>
      <c r="AI69" s="1243">
        <f t="shared" ca="1" si="31"/>
        <v>0</v>
      </c>
      <c r="AJ69" s="1243">
        <f t="shared" ca="1" si="31"/>
        <v>0</v>
      </c>
      <c r="AK69" s="1243">
        <f t="shared" ca="1" si="31"/>
        <v>0.125</v>
      </c>
      <c r="AL69" s="1243">
        <f t="shared" ca="1" si="31"/>
        <v>0</v>
      </c>
      <c r="AM69" s="1243">
        <f t="shared" ca="1" si="31"/>
        <v>0.125</v>
      </c>
      <c r="AN69" s="1243">
        <f t="shared" ca="1" si="31"/>
        <v>0</v>
      </c>
      <c r="AO69" s="1243">
        <f t="shared" ca="1" si="31"/>
        <v>0</v>
      </c>
      <c r="AP69" s="1243">
        <f t="shared" ca="1" si="31"/>
        <v>0</v>
      </c>
      <c r="AQ69" s="1243">
        <f t="shared" ca="1" si="31"/>
        <v>0</v>
      </c>
      <c r="AR69" s="1243">
        <f t="shared" ca="1" si="31"/>
        <v>0</v>
      </c>
      <c r="AS69" s="1243">
        <f t="shared" ca="1" si="31"/>
        <v>0</v>
      </c>
      <c r="AT69" s="1243">
        <f t="shared" ca="1" si="10"/>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IF(CS31=0,0,CS31/$Q69)</f>
        <v>0</v>
      </c>
      <c r="CT69" s="1243">
        <f>IF(CT31=0,0,CT31/$Q69)</f>
        <v>0</v>
      </c>
      <c r="CU69" s="1243">
        <f>IF(CU31=0,0,CU31/$Q69)</f>
        <v>0</v>
      </c>
      <c r="CV69" s="1243">
        <f>IF(CV31=0,0,CV31/$Q69)</f>
        <v>0</v>
      </c>
      <c r="CW69" s="1243">
        <f>IF(CW31=0,0,CW31/$Q69)</f>
        <v>0</v>
      </c>
      <c r="CX69" s="1243">
        <f>IF(CX31=0,0,CX31/$Q69)</f>
        <v>0</v>
      </c>
      <c r="CY69" s="1243">
        <f>IF(CY31=0,0,CY31/$Q69)</f>
        <v>0</v>
      </c>
      <c r="CZ69" s="1243">
        <f>IF(CZ31=0,0,CZ31/$Q69)</f>
        <v>0</v>
      </c>
      <c r="DA69" s="1243">
        <f>IF(DA31=0,0,DA31/$Q69)</f>
        <v>0</v>
      </c>
      <c r="DB69" s="1243">
        <f>IF(DB31=0,0,DB31/$Q69)</f>
        <v>0</v>
      </c>
      <c r="DC69" s="1243">
        <f>IF(DC31=0,0,DC31/$Q69)</f>
        <v>0</v>
      </c>
      <c r="DD69" s="1243">
        <f>IF(DD31=0,0,DD31/$Q69)</f>
        <v>0</v>
      </c>
      <c r="DE69" s="1243">
        <f>IF(DE31=0,0,DE31/$Q69)</f>
        <v>0</v>
      </c>
      <c r="DF69" s="1243">
        <f>IF(DF31=0,0,DF31/$Q69)</f>
        <v>0</v>
      </c>
      <c r="DG69" s="1243">
        <f>IF(DG31=0,0,DG31/$Q69)</f>
        <v>0</v>
      </c>
      <c r="DH69" s="1243">
        <f>IF(DH31=0,0,DH31/$Q69)</f>
        <v>0</v>
      </c>
      <c r="DI69" s="1243">
        <f>IF(DI31=0,0,DI31/$Q69)</f>
        <v>0</v>
      </c>
      <c r="DJ69" s="1243">
        <f>IF(DJ31=0,0,DJ31/$Q69)</f>
        <v>0</v>
      </c>
      <c r="DK69" s="1243">
        <f>IF(DK31=0,0,DK31/$Q69)</f>
        <v>0</v>
      </c>
      <c r="DL69" s="1243">
        <f>IF(DL31=0,0,DL31/$Q69)</f>
        <v>0</v>
      </c>
      <c r="DM69" s="1243">
        <f>IF(DM31=0,0,DM31/$Q69)</f>
        <v>0</v>
      </c>
      <c r="DN69" s="1243">
        <f>IF(DN31=0,0,DN31/$Q69)</f>
        <v>0</v>
      </c>
      <c r="DO69" s="1243">
        <f>IF(DO31=0,0,DO31/$Q69)</f>
        <v>0</v>
      </c>
      <c r="DP69" s="1243">
        <f>IF(DP31=0,0,DP31/$Q69)</f>
        <v>0</v>
      </c>
      <c r="DQ69" s="1243">
        <f>IF(DQ31=0,0,DQ31/$Q69)</f>
        <v>0</v>
      </c>
      <c r="DR69" s="1243">
        <f>IF(DR31=0,0,DR31/$Q69)</f>
        <v>0</v>
      </c>
      <c r="DS69" s="1243">
        <f>IF(DS31=0,0,DS31/$Q69)</f>
        <v>0</v>
      </c>
      <c r="DT69" s="1243">
        <f>IF(DT31=0,0,DT31/$Q69)</f>
        <v>0</v>
      </c>
      <c r="DU69" s="1243">
        <f>IF(DU31=0,0,DU31/$Q69)</f>
        <v>0</v>
      </c>
      <c r="DV69" s="1243">
        <f>IF(DV31=0,0,DV31/$Q69)</f>
        <v>0</v>
      </c>
      <c r="DW69" s="1243">
        <f>IF(DW31=0,0,DW31/$Q69)</f>
        <v>0</v>
      </c>
      <c r="DX69" s="1243"/>
    </row>
    <row r="70" spans="2:128" x14ac:dyDescent="0.3">
      <c r="B70" s="89" vm="257">
        <f ca="1"/>
        <v>45876</v>
      </c>
      <c r="C70" s="89" vm="258">
        <f ca="1"/>
        <v>610.70000000000005</v>
      </c>
      <c r="D70" s="1225">
        <f t="shared" ca="1" si="30"/>
        <v>3.0021926125822346E-2</v>
      </c>
      <c r="E70" s="294" t="str" cm="1">
        <f t="array" aca="1" ref="E70" ca="1">_xlfn.IFS(D70&gt;ZPercent,"U",D70&lt;=-ZPercent,"D",TRUE,"Z")</f>
        <v>U</v>
      </c>
      <c r="F70" s="294" t="str">
        <f t="shared" ref="F70:F133" ca="1" si="32">_xlfn.CONCAT(E71,E70)</f>
        <v>DU</v>
      </c>
      <c r="G70" s="294" t="str">
        <f t="shared" ref="G70:G133" ca="1" si="33">_xlfn.CONCAT(E72,E71,E70)</f>
        <v>DDU</v>
      </c>
      <c r="H70" s="874" t="str">
        <f t="shared" ref="H70:H133" ca="1" si="34">IF(AND(E70="D",E71="Z"),"ZZ","")</f>
        <v/>
      </c>
      <c r="J70" s="89" vm="259">
        <f ca="1"/>
        <v>45750</v>
      </c>
      <c r="K70" s="89" vm="260">
        <f ca="1"/>
        <v>578.70000000000005</v>
      </c>
      <c r="N70" s="874" t="str">
        <f ca="1">IF(F70=[2]Sheet1!O68,"","dif")</f>
        <v>dif</v>
      </c>
      <c r="O70" s="1216"/>
      <c r="P70" s="1208" cm="1">
        <f t="array" aca="1" ref="P70" ca="1">IFERROR(INDEX($S70:$AT70,
       MATCH(TRUE,
             (($R70=Q66)*
              (RIGHT($S$47:$AT$47,3)=NewMUP)*
              ($S70:$AT70&gt;0))&gt;0,
       0)),0)</f>
        <v>0</v>
      </c>
      <c r="Q70" s="1305">
        <f ca="1">SUM(S32:INDEX(28:28, COLUMN($S32) +$R$47 - 1))</f>
        <v>23</v>
      </c>
      <c r="R70" s="1249" t="str">
        <f t="shared" ca="1" si="6"/>
        <v>UZD</v>
      </c>
      <c r="S70" s="1242">
        <f t="shared" ref="S70:AS70" ca="1" si="35">IF(S32=0,0,S32/$Q70)</f>
        <v>0</v>
      </c>
      <c r="T70" s="1243">
        <f t="shared" ca="1" si="35"/>
        <v>0</v>
      </c>
      <c r="U70" s="1243">
        <f t="shared" ca="1" si="35"/>
        <v>0</v>
      </c>
      <c r="V70" s="1243">
        <f t="shared" ca="1" si="35"/>
        <v>0</v>
      </c>
      <c r="W70" s="1243">
        <f t="shared" ca="1" si="35"/>
        <v>0</v>
      </c>
      <c r="X70" s="1243">
        <f t="shared" ca="1" si="35"/>
        <v>0</v>
      </c>
      <c r="Y70" s="1243">
        <f t="shared" ca="1" si="35"/>
        <v>0</v>
      </c>
      <c r="Z70" s="1243">
        <f t="shared" ca="1" si="35"/>
        <v>0</v>
      </c>
      <c r="AA70" s="1243">
        <f t="shared" ca="1" si="35"/>
        <v>0</v>
      </c>
      <c r="AB70" s="1243">
        <f t="shared" ca="1" si="35"/>
        <v>0</v>
      </c>
      <c r="AC70" s="1243">
        <f t="shared" ca="1" si="35"/>
        <v>0</v>
      </c>
      <c r="AD70" s="1243">
        <f t="shared" ca="1" si="35"/>
        <v>0</v>
      </c>
      <c r="AE70" s="1243">
        <f t="shared" ca="1" si="35"/>
        <v>0</v>
      </c>
      <c r="AF70" s="1243">
        <f t="shared" ca="1" si="35"/>
        <v>0.17391304347826086</v>
      </c>
      <c r="AG70" s="1243">
        <f t="shared" ca="1" si="35"/>
        <v>0</v>
      </c>
      <c r="AH70" s="1243">
        <f t="shared" ca="1" si="35"/>
        <v>0</v>
      </c>
      <c r="AI70" s="1243">
        <f t="shared" ca="1" si="35"/>
        <v>0</v>
      </c>
      <c r="AJ70" s="1243">
        <f t="shared" ca="1" si="35"/>
        <v>0</v>
      </c>
      <c r="AK70" s="1243">
        <f t="shared" ca="1" si="35"/>
        <v>0</v>
      </c>
      <c r="AL70" s="1243">
        <f t="shared" ca="1" si="35"/>
        <v>0</v>
      </c>
      <c r="AM70" s="1243">
        <f t="shared" ca="1" si="35"/>
        <v>0</v>
      </c>
      <c r="AN70" s="1243">
        <f t="shared" ca="1" si="35"/>
        <v>8.6956521739130432E-2</v>
      </c>
      <c r="AO70" s="1243">
        <f t="shared" ca="1" si="35"/>
        <v>0</v>
      </c>
      <c r="AP70" s="1243">
        <f t="shared" ca="1" si="35"/>
        <v>0.13043478260869565</v>
      </c>
      <c r="AQ70" s="1243">
        <f t="shared" ca="1" si="35"/>
        <v>0</v>
      </c>
      <c r="AR70" s="1243">
        <f t="shared" ca="1" si="35"/>
        <v>0</v>
      </c>
      <c r="AS70" s="1243">
        <f t="shared" ca="1" si="35"/>
        <v>0</v>
      </c>
      <c r="AT70" s="1243">
        <f t="shared" ca="1" si="10"/>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IF(CS32=0,0,CS32/$Q70)</f>
        <v>0</v>
      </c>
      <c r="CT70" s="1243">
        <f>IF(CT32=0,0,CT32/$Q70)</f>
        <v>0</v>
      </c>
      <c r="CU70" s="1243">
        <f>IF(CU32=0,0,CU32/$Q70)</f>
        <v>0</v>
      </c>
      <c r="CV70" s="1243">
        <f>IF(CV32=0,0,CV32/$Q70)</f>
        <v>0</v>
      </c>
      <c r="CW70" s="1243">
        <f>IF(CW32=0,0,CW32/$Q70)</f>
        <v>0</v>
      </c>
      <c r="CX70" s="1243">
        <f>IF(CX32=0,0,CX32/$Q70)</f>
        <v>0</v>
      </c>
      <c r="CY70" s="1243">
        <f>IF(CY32=0,0,CY32/$Q70)</f>
        <v>0</v>
      </c>
      <c r="CZ70" s="1243">
        <f>IF(CZ32=0,0,CZ32/$Q70)</f>
        <v>0</v>
      </c>
      <c r="DA70" s="1243">
        <f>IF(DA32=0,0,DA32/$Q70)</f>
        <v>0</v>
      </c>
      <c r="DB70" s="1243">
        <f>IF(DB32=0,0,DB32/$Q70)</f>
        <v>0</v>
      </c>
      <c r="DC70" s="1243">
        <f>IF(DC32=0,0,DC32/$Q70)</f>
        <v>0</v>
      </c>
      <c r="DD70" s="1243">
        <f>IF(DD32=0,0,DD32/$Q70)</f>
        <v>0</v>
      </c>
      <c r="DE70" s="1243">
        <f>IF(DE32=0,0,DE32/$Q70)</f>
        <v>0</v>
      </c>
      <c r="DF70" s="1243">
        <f>IF(DF32=0,0,DF32/$Q70)</f>
        <v>0</v>
      </c>
      <c r="DG70" s="1243">
        <f>IF(DG32=0,0,DG32/$Q70)</f>
        <v>0</v>
      </c>
      <c r="DH70" s="1243">
        <f>IF(DH32=0,0,DH32/$Q70)</f>
        <v>0</v>
      </c>
      <c r="DI70" s="1243">
        <f>IF(DI32=0,0,DI32/$Q70)</f>
        <v>0</v>
      </c>
      <c r="DJ70" s="1243">
        <f>IF(DJ32=0,0,DJ32/$Q70)</f>
        <v>0</v>
      </c>
      <c r="DK70" s="1243">
        <f>IF(DK32=0,0,DK32/$Q70)</f>
        <v>0</v>
      </c>
      <c r="DL70" s="1243">
        <f>IF(DL32=0,0,DL32/$Q70)</f>
        <v>0</v>
      </c>
      <c r="DM70" s="1243">
        <f>IF(DM32=0,0,DM32/$Q70)</f>
        <v>0</v>
      </c>
      <c r="DN70" s="1243">
        <f>IF(DN32=0,0,DN32/$Q70)</f>
        <v>0</v>
      </c>
      <c r="DO70" s="1243">
        <f>IF(DO32=0,0,DO32/$Q70)</f>
        <v>0</v>
      </c>
      <c r="DP70" s="1243">
        <f>IF(DP32=0,0,DP32/$Q70)</f>
        <v>0</v>
      </c>
      <c r="DQ70" s="1243">
        <f>IF(DQ32=0,0,DQ32/$Q70)</f>
        <v>0</v>
      </c>
      <c r="DR70" s="1243">
        <f>IF(DR32=0,0,DR32/$Q70)</f>
        <v>0</v>
      </c>
      <c r="DS70" s="1243">
        <f>IF(DS32=0,0,DS32/$Q70)</f>
        <v>0</v>
      </c>
      <c r="DT70" s="1243">
        <f>IF(DT32=0,0,DT32/$Q70)</f>
        <v>0</v>
      </c>
      <c r="DU70" s="1243">
        <f>IF(DU32=0,0,DU32/$Q70)</f>
        <v>0</v>
      </c>
      <c r="DV70" s="1243">
        <f>IF(DV32=0,0,DV32/$Q70)</f>
        <v>0</v>
      </c>
      <c r="DW70" s="1243">
        <f>IF(DW32=0,0,DW32/$Q70)</f>
        <v>0</v>
      </c>
      <c r="DX70" s="1243"/>
    </row>
    <row r="71" spans="2:128" x14ac:dyDescent="0.3">
      <c r="B71" s="89" vm="261">
        <f ca="1"/>
        <v>45875</v>
      </c>
      <c r="C71" s="89" vm="262">
        <f ca="1"/>
        <v>592.9</v>
      </c>
      <c r="D71" s="1225">
        <f t="shared" ca="1" si="30"/>
        <v>-7.0339976553341907E-3</v>
      </c>
      <c r="E71" s="294" t="str" cm="1">
        <f t="array" aca="1" ref="E71" ca="1">_xlfn.IFS(D71&gt;ZPercent,"U",D71&lt;=-ZPercent,"D",TRUE,"Z")</f>
        <v>D</v>
      </c>
      <c r="F71" s="294" t="str">
        <f t="shared" ca="1" si="32"/>
        <v>DD</v>
      </c>
      <c r="G71" s="294" t="str">
        <f t="shared" ca="1" si="33"/>
        <v>UDD</v>
      </c>
      <c r="H71" s="874" t="str">
        <f t="shared" ca="1" si="34"/>
        <v/>
      </c>
      <c r="J71" s="89" vm="263">
        <f ca="1"/>
        <v>45751</v>
      </c>
      <c r="K71" s="89" vm="264">
        <f ca="1"/>
        <v>564.1</v>
      </c>
      <c r="N71" s="874" t="str">
        <f ca="1">IF(F71=[2]Sheet1!O69,"","dif")</f>
        <v>dif</v>
      </c>
      <c r="P71" s="1208" cm="1">
        <f t="array" aca="1" ref="P71" ca="1">IFERROR(INDEX($S71:$AT71,
       MATCH(TRUE,
             (($R71=Q67)*
              (RIGHT($S$47:$AT$47,3)=NewMUP)*
              ($S71:$AT71&gt;0))&gt;0,
       0)),0)</f>
        <v>0</v>
      </c>
      <c r="Q71" s="1305">
        <f ca="1">SUM(S33:INDEX(29:29, COLUMN($S33) +$R$47 - 1))</f>
        <v>24</v>
      </c>
      <c r="R71" s="1249" t="str">
        <f t="shared" ca="1" si="6"/>
        <v>ZDD</v>
      </c>
      <c r="S71" s="1242">
        <f t="shared" ref="S71:AS71" ca="1" si="36">IF(S33=0,0,S33/$Q71)</f>
        <v>0.125</v>
      </c>
      <c r="T71" s="1243">
        <f t="shared" ca="1" si="36"/>
        <v>0</v>
      </c>
      <c r="U71" s="1243">
        <f t="shared" ca="1" si="36"/>
        <v>0</v>
      </c>
      <c r="V71" s="1243">
        <f t="shared" ca="1" si="36"/>
        <v>0</v>
      </c>
      <c r="W71" s="1243">
        <f t="shared" ca="1" si="36"/>
        <v>0</v>
      </c>
      <c r="X71" s="1243">
        <f t="shared" ca="1" si="36"/>
        <v>0</v>
      </c>
      <c r="Y71" s="1243">
        <f t="shared" ca="1" si="36"/>
        <v>0</v>
      </c>
      <c r="Z71" s="1243">
        <f t="shared" ca="1" si="36"/>
        <v>0</v>
      </c>
      <c r="AA71" s="1243">
        <f t="shared" ca="1" si="36"/>
        <v>0</v>
      </c>
      <c r="AB71" s="1243">
        <f t="shared" ca="1" si="36"/>
        <v>0</v>
      </c>
      <c r="AC71" s="1243">
        <f t="shared" ca="1" si="36"/>
        <v>0</v>
      </c>
      <c r="AD71" s="1243">
        <f t="shared" ca="1" si="36"/>
        <v>0</v>
      </c>
      <c r="AE71" s="1243">
        <f t="shared" ca="1" si="36"/>
        <v>0</v>
      </c>
      <c r="AF71" s="1243">
        <f t="shared" ca="1" si="36"/>
        <v>0</v>
      </c>
      <c r="AG71" s="1243">
        <f t="shared" ca="1" si="36"/>
        <v>0</v>
      </c>
      <c r="AH71" s="1243">
        <f t="shared" ca="1" si="36"/>
        <v>0</v>
      </c>
      <c r="AI71" s="1243">
        <f t="shared" ca="1" si="36"/>
        <v>0</v>
      </c>
      <c r="AJ71" s="1243">
        <f t="shared" ca="1" si="36"/>
        <v>0</v>
      </c>
      <c r="AK71" s="1243">
        <f t="shared" ca="1" si="36"/>
        <v>0</v>
      </c>
      <c r="AL71" s="1243">
        <f t="shared" ca="1" si="36"/>
        <v>0</v>
      </c>
      <c r="AM71" s="1243">
        <f t="shared" ca="1" si="36"/>
        <v>0</v>
      </c>
      <c r="AN71" s="1243">
        <f t="shared" ca="1" si="36"/>
        <v>0</v>
      </c>
      <c r="AO71" s="1243">
        <f t="shared" ca="1" si="36"/>
        <v>0</v>
      </c>
      <c r="AP71" s="1243">
        <f t="shared" ca="1" si="36"/>
        <v>0</v>
      </c>
      <c r="AQ71" s="1243">
        <f t="shared" ca="1" si="36"/>
        <v>0</v>
      </c>
      <c r="AR71" s="1243">
        <f t="shared" ca="1" si="36"/>
        <v>0</v>
      </c>
      <c r="AS71" s="1243">
        <f t="shared" ca="1" si="36"/>
        <v>0</v>
      </c>
      <c r="AT71" s="1243">
        <f t="shared" ca="1" si="10"/>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IF(CS33=0,0,CS33/$Q71)</f>
        <v>0</v>
      </c>
      <c r="CT71" s="1243">
        <f>IF(CT33=0,0,CT33/$Q71)</f>
        <v>0</v>
      </c>
      <c r="CU71" s="1243">
        <f>IF(CU33=0,0,CU33/$Q71)</f>
        <v>0</v>
      </c>
      <c r="CV71" s="1243">
        <f>IF(CV33=0,0,CV33/$Q71)</f>
        <v>0</v>
      </c>
      <c r="CW71" s="1243">
        <f>IF(CW33=0,0,CW33/$Q71)</f>
        <v>0</v>
      </c>
      <c r="CX71" s="1243">
        <f>IF(CX33=0,0,CX33/$Q71)</f>
        <v>0</v>
      </c>
      <c r="CY71" s="1243">
        <f>IF(CY33=0,0,CY33/$Q71)</f>
        <v>0</v>
      </c>
      <c r="CZ71" s="1243">
        <f>IF(CZ33=0,0,CZ33/$Q71)</f>
        <v>0</v>
      </c>
      <c r="DA71" s="1243">
        <f>IF(DA33=0,0,DA33/$Q71)</f>
        <v>0</v>
      </c>
      <c r="DB71" s="1243">
        <f>IF(DB33=0,0,DB33/$Q71)</f>
        <v>0</v>
      </c>
      <c r="DC71" s="1243">
        <f>IF(DC33=0,0,DC33/$Q71)</f>
        <v>0</v>
      </c>
      <c r="DD71" s="1243">
        <f>IF(DD33=0,0,DD33/$Q71)</f>
        <v>0</v>
      </c>
      <c r="DE71" s="1243">
        <f>IF(DE33=0,0,DE33/$Q71)</f>
        <v>0</v>
      </c>
      <c r="DF71" s="1243">
        <f>IF(DF33=0,0,DF33/$Q71)</f>
        <v>0</v>
      </c>
      <c r="DG71" s="1243">
        <f>IF(DG33=0,0,DG33/$Q71)</f>
        <v>0</v>
      </c>
      <c r="DH71" s="1243">
        <f>IF(DH33=0,0,DH33/$Q71)</f>
        <v>0</v>
      </c>
      <c r="DI71" s="1243">
        <f>IF(DI33=0,0,DI33/$Q71)</f>
        <v>0</v>
      </c>
      <c r="DJ71" s="1243">
        <f>IF(DJ33=0,0,DJ33/$Q71)</f>
        <v>0</v>
      </c>
      <c r="DK71" s="1243">
        <f>IF(DK33=0,0,DK33/$Q71)</f>
        <v>0</v>
      </c>
      <c r="DL71" s="1243">
        <f>IF(DL33=0,0,DL33/$Q71)</f>
        <v>0</v>
      </c>
      <c r="DM71" s="1243">
        <f>IF(DM33=0,0,DM33/$Q71)</f>
        <v>0</v>
      </c>
      <c r="DN71" s="1243">
        <f>IF(DN33=0,0,DN33/$Q71)</f>
        <v>0</v>
      </c>
      <c r="DO71" s="1243">
        <f>IF(DO33=0,0,DO33/$Q71)</f>
        <v>0</v>
      </c>
      <c r="DP71" s="1243">
        <f>IF(DP33=0,0,DP33/$Q71)</f>
        <v>0</v>
      </c>
      <c r="DQ71" s="1243">
        <f>IF(DQ33=0,0,DQ33/$Q71)</f>
        <v>0</v>
      </c>
      <c r="DR71" s="1243">
        <f>IF(DR33=0,0,DR33/$Q71)</f>
        <v>0</v>
      </c>
      <c r="DS71" s="1243">
        <f>IF(DS33=0,0,DS33/$Q71)</f>
        <v>0</v>
      </c>
      <c r="DT71" s="1243">
        <f>IF(DT33=0,0,DT33/$Q71)</f>
        <v>0</v>
      </c>
      <c r="DU71" s="1243">
        <f>IF(DU33=0,0,DU33/$Q71)</f>
        <v>0</v>
      </c>
      <c r="DV71" s="1243">
        <f>IF(DV33=0,0,DV33/$Q71)</f>
        <v>0</v>
      </c>
      <c r="DW71" s="1243">
        <f>IF(DW33=0,0,DW33/$Q71)</f>
        <v>0</v>
      </c>
      <c r="DX71" s="1243"/>
    </row>
    <row r="72" spans="2:128" x14ac:dyDescent="0.3">
      <c r="B72" s="89" vm="265">
        <f ca="1"/>
        <v>45874</v>
      </c>
      <c r="C72" s="89" vm="266">
        <f ca="1"/>
        <v>597.1</v>
      </c>
      <c r="D72" s="1225">
        <f t="shared" ca="1" si="30"/>
        <v>-8.7981407702522486E-3</v>
      </c>
      <c r="E72" s="294" t="str" cm="1">
        <f t="array" aca="1" ref="E72" ca="1">_xlfn.IFS(D72&gt;ZPercent,"U",D72&lt;=-ZPercent,"D",TRUE,"Z")</f>
        <v>D</v>
      </c>
      <c r="F72" s="294" t="str">
        <f t="shared" ca="1" si="32"/>
        <v>UD</v>
      </c>
      <c r="G72" s="294" t="str">
        <f t="shared" ca="1" si="33"/>
        <v>DUD</v>
      </c>
      <c r="H72" s="874" t="str">
        <f t="shared" ca="1" si="34"/>
        <v/>
      </c>
      <c r="J72" s="89" vm="267">
        <f ca="1"/>
        <v>45754</v>
      </c>
      <c r="K72" s="89" vm="268">
        <f ca="1"/>
        <v>550</v>
      </c>
      <c r="N72" s="874" t="str">
        <f ca="1">IF(F72=[2]Sheet1!O70,"","dif")</f>
        <v>dif</v>
      </c>
      <c r="P72" s="1208" cm="1">
        <f t="array" aca="1" ref="P72" ca="1">IFERROR(INDEX($S72:$AT72,
       MATCH(TRUE,
             (($R72=Q68)*
              (RIGHT($S$47:$AT$47,3)=NewMUP)*
              ($S72:$AT72&gt;0))&gt;0,
       0)),0)</f>
        <v>0</v>
      </c>
      <c r="Q72" s="1305">
        <f ca="1">SUM(S34:INDEX(30:30, COLUMN($S34) +$R$47 - 1))</f>
        <v>20</v>
      </c>
      <c r="R72" s="1249">
        <f t="shared" si="6"/>
        <v>0</v>
      </c>
      <c r="S72" s="1242">
        <f t="shared" ref="S72:AS72" ca="1" si="37">IF(S34=0,0,S34/$Q72)</f>
        <v>0</v>
      </c>
      <c r="T72" s="1243">
        <f t="shared" ca="1" si="37"/>
        <v>0</v>
      </c>
      <c r="U72" s="1243">
        <f t="shared" ca="1" si="37"/>
        <v>0</v>
      </c>
      <c r="V72" s="1243">
        <f t="shared" ca="1" si="37"/>
        <v>0</v>
      </c>
      <c r="W72" s="1243">
        <f t="shared" ca="1" si="37"/>
        <v>0</v>
      </c>
      <c r="X72" s="1243">
        <f t="shared" ca="1" si="37"/>
        <v>0</v>
      </c>
      <c r="Y72" s="1243">
        <f t="shared" ca="1" si="37"/>
        <v>0</v>
      </c>
      <c r="Z72" s="1243">
        <f t="shared" ca="1" si="37"/>
        <v>0</v>
      </c>
      <c r="AA72" s="1243">
        <f t="shared" ca="1" si="37"/>
        <v>0</v>
      </c>
      <c r="AB72" s="1243">
        <f t="shared" ca="1" si="37"/>
        <v>0</v>
      </c>
      <c r="AC72" s="1243">
        <f t="shared" ca="1" si="37"/>
        <v>0</v>
      </c>
      <c r="AD72" s="1243">
        <f t="shared" ca="1" si="37"/>
        <v>0</v>
      </c>
      <c r="AE72" s="1243">
        <f t="shared" ca="1" si="37"/>
        <v>0</v>
      </c>
      <c r="AF72" s="1243">
        <f t="shared" ca="1" si="37"/>
        <v>0</v>
      </c>
      <c r="AG72" s="1243">
        <f t="shared" ca="1" si="37"/>
        <v>0</v>
      </c>
      <c r="AH72" s="1243">
        <f t="shared" ca="1" si="37"/>
        <v>0</v>
      </c>
      <c r="AI72" s="1243">
        <f t="shared" ca="1" si="37"/>
        <v>0</v>
      </c>
      <c r="AJ72" s="1243">
        <f t="shared" ca="1" si="37"/>
        <v>0</v>
      </c>
      <c r="AK72" s="1243">
        <f t="shared" ca="1" si="37"/>
        <v>0</v>
      </c>
      <c r="AL72" s="1243">
        <f t="shared" ca="1" si="37"/>
        <v>0</v>
      </c>
      <c r="AM72" s="1243">
        <f t="shared" ca="1" si="37"/>
        <v>0</v>
      </c>
      <c r="AN72" s="1243">
        <f t="shared" ca="1" si="37"/>
        <v>0</v>
      </c>
      <c r="AO72" s="1243">
        <f t="shared" ca="1" si="37"/>
        <v>0</v>
      </c>
      <c r="AP72" s="1243">
        <f t="shared" ca="1" si="37"/>
        <v>0</v>
      </c>
      <c r="AQ72" s="1243">
        <f t="shared" ca="1" si="37"/>
        <v>0</v>
      </c>
      <c r="AR72" s="1243">
        <f t="shared" ca="1" si="37"/>
        <v>0</v>
      </c>
      <c r="AS72" s="1243">
        <f t="shared" ca="1" si="37"/>
        <v>0</v>
      </c>
      <c r="AT72" s="1243">
        <f t="shared" ca="1" si="10"/>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IF(CS34=0,0,CS34/$Q72)</f>
        <v>0</v>
      </c>
      <c r="CT72" s="1243">
        <f>IF(CT34=0,0,CT34/$Q72)</f>
        <v>0</v>
      </c>
      <c r="CU72" s="1243">
        <f>IF(CU34=0,0,CU34/$Q72)</f>
        <v>0</v>
      </c>
      <c r="CV72" s="1243">
        <f>IF(CV34=0,0,CV34/$Q72)</f>
        <v>0</v>
      </c>
      <c r="CW72" s="1243">
        <f>IF(CW34=0,0,CW34/$Q72)</f>
        <v>0</v>
      </c>
      <c r="CX72" s="1243">
        <f>IF(CX34=0,0,CX34/$Q72)</f>
        <v>0</v>
      </c>
      <c r="CY72" s="1243">
        <f>IF(CY34=0,0,CY34/$Q72)</f>
        <v>0</v>
      </c>
      <c r="CZ72" s="1243">
        <f>IF(CZ34=0,0,CZ34/$Q72)</f>
        <v>0</v>
      </c>
      <c r="DA72" s="1243">
        <f>IF(DA34=0,0,DA34/$Q72)</f>
        <v>0</v>
      </c>
      <c r="DB72" s="1243">
        <f>IF(DB34=0,0,DB34/$Q72)</f>
        <v>0</v>
      </c>
      <c r="DC72" s="1243">
        <f>IF(DC34=0,0,DC34/$Q72)</f>
        <v>0</v>
      </c>
      <c r="DD72" s="1243">
        <f>IF(DD34=0,0,DD34/$Q72)</f>
        <v>0</v>
      </c>
      <c r="DE72" s="1243">
        <f>IF(DE34=0,0,DE34/$Q72)</f>
        <v>0</v>
      </c>
      <c r="DF72" s="1243">
        <f>IF(DF34=0,0,DF34/$Q72)</f>
        <v>0</v>
      </c>
      <c r="DG72" s="1243">
        <f>IF(DG34=0,0,DG34/$Q72)</f>
        <v>0</v>
      </c>
      <c r="DH72" s="1243">
        <f>IF(DH34=0,0,DH34/$Q72)</f>
        <v>0</v>
      </c>
      <c r="DI72" s="1243">
        <f>IF(DI34=0,0,DI34/$Q72)</f>
        <v>0</v>
      </c>
      <c r="DJ72" s="1243">
        <f>IF(DJ34=0,0,DJ34/$Q72)</f>
        <v>0</v>
      </c>
      <c r="DK72" s="1243">
        <f>IF(DK34=0,0,DK34/$Q72)</f>
        <v>0</v>
      </c>
      <c r="DL72" s="1243">
        <f>IF(DL34=0,0,DL34/$Q72)</f>
        <v>0</v>
      </c>
      <c r="DM72" s="1243">
        <f>IF(DM34=0,0,DM34/$Q72)</f>
        <v>0</v>
      </c>
      <c r="DN72" s="1243">
        <f>IF(DN34=0,0,DN34/$Q72)</f>
        <v>0</v>
      </c>
      <c r="DO72" s="1243">
        <f>IF(DO34=0,0,DO34/$Q72)</f>
        <v>0</v>
      </c>
      <c r="DP72" s="1243">
        <f>IF(DP34=0,0,DP34/$Q72)</f>
        <v>0</v>
      </c>
      <c r="DQ72" s="1243">
        <f>IF(DQ34=0,0,DQ34/$Q72)</f>
        <v>0</v>
      </c>
      <c r="DR72" s="1243">
        <f>IF(DR34=0,0,DR34/$Q72)</f>
        <v>0</v>
      </c>
      <c r="DS72" s="1243">
        <f>IF(DS34=0,0,DS34/$Q72)</f>
        <v>0</v>
      </c>
      <c r="DT72" s="1243">
        <f>IF(DT34=0,0,DT34/$Q72)</f>
        <v>0</v>
      </c>
      <c r="DU72" s="1243">
        <f>IF(DU34=0,0,DU34/$Q72)</f>
        <v>0</v>
      </c>
      <c r="DV72" s="1243">
        <f>IF(DV34=0,0,DV34/$Q72)</f>
        <v>0</v>
      </c>
      <c r="DW72" s="1243">
        <f>IF(DW34=0,0,DW34/$Q72)</f>
        <v>0</v>
      </c>
      <c r="DX72" s="1243"/>
    </row>
    <row r="73" spans="2:128" x14ac:dyDescent="0.3">
      <c r="B73" s="89" vm="269">
        <f ca="1"/>
        <v>45873</v>
      </c>
      <c r="C73" s="89" vm="270">
        <f ca="1"/>
        <v>602.4</v>
      </c>
      <c r="D73" s="1225">
        <f t="shared" ca="1" si="30"/>
        <v>1.2436974789915928E-2</v>
      </c>
      <c r="E73" s="294" t="str" cm="1">
        <f t="array" aca="1" ref="E73" ca="1">_xlfn.IFS(D73&gt;ZPercent,"U",D73&lt;=-ZPercent,"D",TRUE,"Z")</f>
        <v>U</v>
      </c>
      <c r="F73" s="294" t="str">
        <f t="shared" ca="1" si="32"/>
        <v>DU</v>
      </c>
      <c r="G73" s="294" t="str">
        <f t="shared" ca="1" si="33"/>
        <v>DDU</v>
      </c>
      <c r="H73" s="874" t="str">
        <f t="shared" ca="1" si="34"/>
        <v/>
      </c>
      <c r="J73" s="89" vm="271">
        <f ca="1"/>
        <v>45755</v>
      </c>
      <c r="K73" s="89" vm="272">
        <f ca="1"/>
        <v>573.79999999999995</v>
      </c>
      <c r="N73" s="874" t="str">
        <f ca="1">IF(F73=[2]Sheet1!O71,"","dif")</f>
        <v>dif</v>
      </c>
      <c r="P73" s="1208" cm="1">
        <f t="array" aca="1" ref="P73" ca="1">IFERROR(INDEX($S73:$AT73,
       MATCH(TRUE,
             (($R73=Q69)*
              (RIGHT($S$47:$AT$47,3)=NewMUP)*
              ($S73:$AT73&gt;0))&gt;0,
       0)),0)</f>
        <v>0</v>
      </c>
      <c r="Q73" s="1305">
        <f ca="1">SUM(S35:INDEX(31:31, COLUMN($S35) +$R$47 - 1))</f>
        <v>16</v>
      </c>
      <c r="R73" s="1249">
        <f t="shared" si="6"/>
        <v>0</v>
      </c>
      <c r="S73" s="1242">
        <f t="shared" ref="S73:AS73" ca="1" si="38">IF(S35=0,0,S35/$Q73)</f>
        <v>0</v>
      </c>
      <c r="T73" s="1243">
        <f t="shared" ca="1" si="38"/>
        <v>0</v>
      </c>
      <c r="U73" s="1243">
        <f t="shared" ca="1" si="38"/>
        <v>0</v>
      </c>
      <c r="V73" s="1243">
        <f t="shared" ca="1" si="38"/>
        <v>0</v>
      </c>
      <c r="W73" s="1243">
        <f t="shared" ca="1" si="38"/>
        <v>0</v>
      </c>
      <c r="X73" s="1243">
        <f t="shared" ca="1" si="38"/>
        <v>0</v>
      </c>
      <c r="Y73" s="1243">
        <f t="shared" ca="1" si="38"/>
        <v>0</v>
      </c>
      <c r="Z73" s="1243">
        <f t="shared" ca="1" si="38"/>
        <v>0</v>
      </c>
      <c r="AA73" s="1243">
        <f t="shared" ca="1" si="38"/>
        <v>0</v>
      </c>
      <c r="AB73" s="1243">
        <f t="shared" ca="1" si="38"/>
        <v>0</v>
      </c>
      <c r="AC73" s="1243">
        <f t="shared" ca="1" si="38"/>
        <v>0</v>
      </c>
      <c r="AD73" s="1243">
        <f t="shared" ca="1" si="38"/>
        <v>0</v>
      </c>
      <c r="AE73" s="1243">
        <f t="shared" ca="1" si="38"/>
        <v>0</v>
      </c>
      <c r="AF73" s="1243">
        <f t="shared" ca="1" si="38"/>
        <v>0</v>
      </c>
      <c r="AG73" s="1243">
        <f t="shared" ca="1" si="38"/>
        <v>0</v>
      </c>
      <c r="AH73" s="1243">
        <f t="shared" ca="1" si="38"/>
        <v>0</v>
      </c>
      <c r="AI73" s="1243">
        <f t="shared" ca="1" si="38"/>
        <v>0</v>
      </c>
      <c r="AJ73" s="1243">
        <f t="shared" ca="1" si="38"/>
        <v>0</v>
      </c>
      <c r="AK73" s="1243">
        <f t="shared" ca="1" si="38"/>
        <v>0</v>
      </c>
      <c r="AL73" s="1243">
        <f t="shared" ca="1" si="38"/>
        <v>0</v>
      </c>
      <c r="AM73" s="1243">
        <f t="shared" ca="1" si="38"/>
        <v>0</v>
      </c>
      <c r="AN73" s="1243">
        <f t="shared" ca="1" si="38"/>
        <v>0</v>
      </c>
      <c r="AO73" s="1243">
        <f t="shared" ca="1" si="38"/>
        <v>0</v>
      </c>
      <c r="AP73" s="1243">
        <f t="shared" ca="1" si="38"/>
        <v>0</v>
      </c>
      <c r="AQ73" s="1243">
        <f t="shared" ca="1" si="38"/>
        <v>0</v>
      </c>
      <c r="AR73" s="1243">
        <f t="shared" ca="1" si="38"/>
        <v>0</v>
      </c>
      <c r="AS73" s="1243">
        <f t="shared" ca="1" si="38"/>
        <v>0</v>
      </c>
      <c r="AT73" s="1243">
        <f t="shared" ca="1" si="10"/>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IF(CS35=0,0,CS35/$Q73)</f>
        <v>0</v>
      </c>
      <c r="CT73" s="1243">
        <f>IF(CT35=0,0,CT35/$Q73)</f>
        <v>0</v>
      </c>
      <c r="CU73" s="1243">
        <f>IF(CU35=0,0,CU35/$Q73)</f>
        <v>0</v>
      </c>
      <c r="CV73" s="1243">
        <f>IF(CV35=0,0,CV35/$Q73)</f>
        <v>0</v>
      </c>
      <c r="CW73" s="1243">
        <f>IF(CW35=0,0,CW35/$Q73)</f>
        <v>0</v>
      </c>
      <c r="CX73" s="1243">
        <f>IF(CX35=0,0,CX35/$Q73)</f>
        <v>0</v>
      </c>
      <c r="CY73" s="1243">
        <f>IF(CY35=0,0,CY35/$Q73)</f>
        <v>0</v>
      </c>
      <c r="CZ73" s="1243">
        <f>IF(CZ35=0,0,CZ35/$Q73)</f>
        <v>0</v>
      </c>
      <c r="DA73" s="1243">
        <f>IF(DA35=0,0,DA35/$Q73)</f>
        <v>0</v>
      </c>
      <c r="DB73" s="1243">
        <f>IF(DB35=0,0,DB35/$Q73)</f>
        <v>0</v>
      </c>
      <c r="DC73" s="1243">
        <f>IF(DC35=0,0,DC35/$Q73)</f>
        <v>0</v>
      </c>
      <c r="DD73" s="1243">
        <f>IF(DD35=0,0,DD35/$Q73)</f>
        <v>0</v>
      </c>
      <c r="DE73" s="1243">
        <f>IF(DE35=0,0,DE35/$Q73)</f>
        <v>0</v>
      </c>
      <c r="DF73" s="1243">
        <f>IF(DF35=0,0,DF35/$Q73)</f>
        <v>0</v>
      </c>
      <c r="DG73" s="1243">
        <f>IF(DG35=0,0,DG35/$Q73)</f>
        <v>0</v>
      </c>
      <c r="DH73" s="1243">
        <f>IF(DH35=0,0,DH35/$Q73)</f>
        <v>0</v>
      </c>
      <c r="DI73" s="1243">
        <f>IF(DI35=0,0,DI35/$Q73)</f>
        <v>0</v>
      </c>
      <c r="DJ73" s="1243">
        <f>IF(DJ35=0,0,DJ35/$Q73)</f>
        <v>0</v>
      </c>
      <c r="DK73" s="1243">
        <f>IF(DK35=0,0,DK35/$Q73)</f>
        <v>0</v>
      </c>
      <c r="DL73" s="1243">
        <f>IF(DL35=0,0,DL35/$Q73)</f>
        <v>0</v>
      </c>
      <c r="DM73" s="1243">
        <f>IF(DM35=0,0,DM35/$Q73)</f>
        <v>0</v>
      </c>
      <c r="DN73" s="1243">
        <f>IF(DN35=0,0,DN35/$Q73)</f>
        <v>0</v>
      </c>
      <c r="DO73" s="1243">
        <f>IF(DO35=0,0,DO35/$Q73)</f>
        <v>0</v>
      </c>
      <c r="DP73" s="1243">
        <f>IF(DP35=0,0,DP35/$Q73)</f>
        <v>0</v>
      </c>
      <c r="DQ73" s="1243">
        <f>IF(DQ35=0,0,DQ35/$Q73)</f>
        <v>0</v>
      </c>
      <c r="DR73" s="1243">
        <f>IF(DR35=0,0,DR35/$Q73)</f>
        <v>0</v>
      </c>
      <c r="DS73" s="1243">
        <f>IF(DS35=0,0,DS35/$Q73)</f>
        <v>0</v>
      </c>
      <c r="DT73" s="1243">
        <f>IF(DT35=0,0,DT35/$Q73)</f>
        <v>0</v>
      </c>
      <c r="DU73" s="1243">
        <f>IF(DU35=0,0,DU35/$Q73)</f>
        <v>0</v>
      </c>
      <c r="DV73" s="1243">
        <f>IF(DV35=0,0,DV35/$Q73)</f>
        <v>0</v>
      </c>
      <c r="DW73" s="1243">
        <f>IF(DW35=0,0,DW35/$Q73)</f>
        <v>0</v>
      </c>
      <c r="DX73" s="1243"/>
    </row>
    <row r="74" spans="2:128" x14ac:dyDescent="0.3">
      <c r="B74" s="89" vm="273">
        <f ca="1"/>
        <v>45870</v>
      </c>
      <c r="C74" s="89" vm="274">
        <f ca="1"/>
        <v>595</v>
      </c>
      <c r="D74" s="1225">
        <f t="shared" ca="1" si="30"/>
        <v>-2.9522100799217129E-2</v>
      </c>
      <c r="E74" s="294" t="str" cm="1">
        <f t="array" aca="1" ref="E74" ca="1">_xlfn.IFS(D74&gt;ZPercent,"U",D74&lt;=-ZPercent,"D",TRUE,"Z")</f>
        <v>D</v>
      </c>
      <c r="F74" s="294" t="str">
        <f t="shared" ca="1" si="32"/>
        <v>DD</v>
      </c>
      <c r="G74" s="294" t="str">
        <f t="shared" ca="1" si="33"/>
        <v>UDD</v>
      </c>
      <c r="H74" s="874" t="str">
        <f t="shared" ca="1" si="34"/>
        <v/>
      </c>
      <c r="J74" s="89" vm="275">
        <f ca="1"/>
        <v>45756</v>
      </c>
      <c r="K74" s="89" vm="276">
        <f ca="1"/>
        <v>554.29999999999995</v>
      </c>
      <c r="N74" s="874" t="str">
        <f ca="1">IF(F74=[2]Sheet1!O72,"","dif")</f>
        <v>dif</v>
      </c>
      <c r="P74" s="1208" cm="1">
        <f t="array" aca="1" ref="P74" ca="1">IFERROR(INDEX($S74:$AT74,
       MATCH(TRUE,
             (($R74=Q70)*
              (RIGHT($S$47:$AT$47,3)=NewMUP)*
              ($S74:$AT74&gt;0))&gt;0,
       0)),0)</f>
        <v>0</v>
      </c>
      <c r="Q74" s="1305"/>
      <c r="R74" s="1249" t="s">
        <v>2737</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39">IF(AS44=0,0,AS44/$Q74)</f>
        <v>0</v>
      </c>
      <c r="AT74" s="1243">
        <f t="shared" ref="AT74" si="40">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IF(CS36=0,0,CS36/$Q74)</f>
        <v>0</v>
      </c>
      <c r="CT74" s="1243">
        <f>IF(CT36=0,0,CT36/$Q74)</f>
        <v>0</v>
      </c>
      <c r="CU74" s="1243">
        <f>IF(CU36=0,0,CU36/$Q74)</f>
        <v>0</v>
      </c>
      <c r="CV74" s="1243">
        <f>IF(CV36=0,0,CV36/$Q74)</f>
        <v>0</v>
      </c>
      <c r="CW74" s="1243">
        <f>IF(CW36=0,0,CW36/$Q74)</f>
        <v>0</v>
      </c>
      <c r="CX74" s="1243">
        <f>IF(CX36=0,0,CX36/$Q74)</f>
        <v>0</v>
      </c>
      <c r="CY74" s="1243">
        <f>IF(CY36=0,0,CY36/$Q74)</f>
        <v>0</v>
      </c>
      <c r="CZ74" s="1243">
        <f>IF(CZ36=0,0,CZ36/$Q74)</f>
        <v>0</v>
      </c>
      <c r="DA74" s="1243">
        <f>IF(DA36=0,0,DA36/$Q74)</f>
        <v>0</v>
      </c>
      <c r="DB74" s="1243">
        <f>IF(DB36=0,0,DB36/$Q74)</f>
        <v>0</v>
      </c>
      <c r="DC74" s="1243">
        <f>IF(DC36=0,0,DC36/$Q74)</f>
        <v>0</v>
      </c>
      <c r="DD74" s="1243">
        <f>IF(DD36=0,0,DD36/$Q74)</f>
        <v>0</v>
      </c>
      <c r="DE74" s="1243">
        <f>IF(DE36=0,0,DE36/$Q74)</f>
        <v>0</v>
      </c>
      <c r="DF74" s="1243">
        <f>IF(DF36=0,0,DF36/$Q74)</f>
        <v>0</v>
      </c>
      <c r="DG74" s="1243">
        <f>IF(DG36=0,0,DG36/$Q74)</f>
        <v>0</v>
      </c>
      <c r="DH74" s="1243">
        <f>IF(DH36=0,0,DH36/$Q74)</f>
        <v>0</v>
      </c>
      <c r="DI74" s="1243">
        <f>IF(DI36=0,0,DI36/$Q74)</f>
        <v>0</v>
      </c>
      <c r="DJ74" s="1243">
        <f>IF(DJ36=0,0,DJ36/$Q74)</f>
        <v>0</v>
      </c>
      <c r="DK74" s="1243">
        <f>IF(DK36=0,0,DK36/$Q74)</f>
        <v>0</v>
      </c>
      <c r="DL74" s="1243">
        <f>IF(DL36=0,0,DL36/$Q74)</f>
        <v>0</v>
      </c>
      <c r="DM74" s="1243">
        <f>IF(DM36=0,0,DM36/$Q74)</f>
        <v>0</v>
      </c>
      <c r="DN74" s="1243">
        <f>IF(DN36=0,0,DN36/$Q74)</f>
        <v>0</v>
      </c>
      <c r="DO74" s="1243">
        <f>IF(DO36=0,0,DO36/$Q74)</f>
        <v>0</v>
      </c>
      <c r="DP74" s="1243">
        <f>IF(DP36=0,0,DP36/$Q74)</f>
        <v>0</v>
      </c>
      <c r="DQ74" s="1243">
        <f>IF(DQ36=0,0,DQ36/$Q74)</f>
        <v>0</v>
      </c>
      <c r="DR74" s="1243">
        <f>IF(DR36=0,0,DR36/$Q74)</f>
        <v>0</v>
      </c>
      <c r="DS74" s="1243">
        <f>IF(DS36=0,0,DS36/$Q74)</f>
        <v>0</v>
      </c>
      <c r="DT74" s="1243">
        <f>IF(DT36=0,0,DT36/$Q74)</f>
        <v>0</v>
      </c>
      <c r="DU74" s="1243">
        <f>IF(DU36=0,0,DU36/$Q74)</f>
        <v>0</v>
      </c>
      <c r="DV74" s="1243">
        <f>IF(DV36=0,0,DV36/$Q74)</f>
        <v>0</v>
      </c>
      <c r="DW74" s="1243">
        <f>IF(DW36=0,0,DW36/$Q74)</f>
        <v>0</v>
      </c>
      <c r="DX74" s="1243"/>
    </row>
    <row r="75" spans="2:128" ht="23" thickBot="1" x14ac:dyDescent="0.35">
      <c r="B75" s="89" vm="277">
        <f ca="1"/>
        <v>45869</v>
      </c>
      <c r="C75" s="89" vm="278">
        <f ca="1"/>
        <v>613.1</v>
      </c>
      <c r="D75" s="1225">
        <f t="shared" ca="1" si="30"/>
        <v>-2.2948207171314704E-2</v>
      </c>
      <c r="E75" s="294" t="str" cm="1">
        <f t="array" aca="1" ref="E75" ca="1">_xlfn.IFS(D75&gt;ZPercent,"U",D75&lt;=-ZPercent,"D",TRUE,"Z")</f>
        <v>D</v>
      </c>
      <c r="F75" s="294" t="str">
        <f t="shared" ca="1" si="32"/>
        <v>UD</v>
      </c>
      <c r="G75" s="294" t="str">
        <f t="shared" ca="1" si="33"/>
        <v>DUD</v>
      </c>
      <c r="H75" s="874" t="str">
        <f t="shared" ca="1" si="34"/>
        <v/>
      </c>
      <c r="J75" s="89" vm="279">
        <f ca="1"/>
        <v>45757</v>
      </c>
      <c r="K75" s="89" vm="280">
        <f ca="1"/>
        <v>577.6</v>
      </c>
      <c r="N75" s="874" t="str">
        <f ca="1">IF(F75=[2]Sheet1!O73,"","dif")</f>
        <v>dif</v>
      </c>
      <c r="P75" s="1208" cm="1">
        <f t="array" aca="1" ref="P75" ca="1">IFERROR(INDEX($S75:$AT75,
       MATCH(TRUE,
             (($R75=Q71)*
              (RIGHT($S$47:$AT$47,3)=NewMUP)*
              ($S75:$AT75&gt;0))&gt;0,
       0)),0)</f>
        <v>0</v>
      </c>
      <c r="Q75" s="875">
        <f t="shared" ref="Q75" si="41">SUM($S45:$AT45)</f>
        <v>0</v>
      </c>
      <c r="R75" s="1250"/>
      <c r="S75" s="1245">
        <f t="shared" ref="S75:AT75" si="42">IF(S45=0,0,S45/$Q75)</f>
        <v>0</v>
      </c>
      <c r="T75" s="1246">
        <f t="shared" si="42"/>
        <v>0</v>
      </c>
      <c r="U75" s="1246">
        <f t="shared" si="42"/>
        <v>0</v>
      </c>
      <c r="V75" s="1246">
        <f t="shared" si="42"/>
        <v>0</v>
      </c>
      <c r="W75" s="1246">
        <f t="shared" si="42"/>
        <v>0</v>
      </c>
      <c r="X75" s="1246">
        <f t="shared" si="42"/>
        <v>0</v>
      </c>
      <c r="Y75" s="1246">
        <f t="shared" si="42"/>
        <v>0</v>
      </c>
      <c r="Z75" s="1246">
        <f t="shared" si="42"/>
        <v>0</v>
      </c>
      <c r="AA75" s="1246">
        <f t="shared" si="42"/>
        <v>0</v>
      </c>
      <c r="AB75" s="1246">
        <f t="shared" si="42"/>
        <v>0</v>
      </c>
      <c r="AC75" s="1246">
        <f t="shared" si="42"/>
        <v>0</v>
      </c>
      <c r="AD75" s="1246">
        <f t="shared" si="42"/>
        <v>0</v>
      </c>
      <c r="AE75" s="1246">
        <f t="shared" si="42"/>
        <v>0</v>
      </c>
      <c r="AF75" s="1246">
        <f t="shared" si="42"/>
        <v>0</v>
      </c>
      <c r="AG75" s="1246">
        <f t="shared" si="42"/>
        <v>0</v>
      </c>
      <c r="AH75" s="1246">
        <f t="shared" si="42"/>
        <v>0</v>
      </c>
      <c r="AI75" s="1246">
        <f t="shared" si="42"/>
        <v>0</v>
      </c>
      <c r="AJ75" s="1246">
        <f t="shared" si="42"/>
        <v>0</v>
      </c>
      <c r="AK75" s="1246">
        <f t="shared" si="42"/>
        <v>0</v>
      </c>
      <c r="AL75" s="1246">
        <f t="shared" si="42"/>
        <v>0</v>
      </c>
      <c r="AM75" s="1246">
        <f t="shared" si="42"/>
        <v>0</v>
      </c>
      <c r="AN75" s="1246">
        <f t="shared" si="42"/>
        <v>0</v>
      </c>
      <c r="AO75" s="1246">
        <f t="shared" si="42"/>
        <v>0</v>
      </c>
      <c r="AP75" s="1246">
        <f t="shared" si="42"/>
        <v>0</v>
      </c>
      <c r="AQ75" s="1246">
        <f t="shared" si="42"/>
        <v>0</v>
      </c>
      <c r="AR75" s="1246">
        <f t="shared" si="42"/>
        <v>0</v>
      </c>
      <c r="AS75" s="1246">
        <f t="shared" si="42"/>
        <v>0</v>
      </c>
      <c r="AT75" s="1246">
        <f t="shared" si="42"/>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81">
        <f ca="1"/>
        <v>45868</v>
      </c>
      <c r="C76" s="89" vm="282">
        <f ca="1"/>
        <v>627.5</v>
      </c>
      <c r="D76" s="1225">
        <f t="shared" ca="1" si="30"/>
        <v>7.2231139646869984E-3</v>
      </c>
      <c r="E76" s="294" t="str" cm="1">
        <f t="array" aca="1" ref="E76" ca="1">_xlfn.IFS(D76&gt;ZPercent,"U",D76&lt;=-ZPercent,"D",TRUE,"Z")</f>
        <v>U</v>
      </c>
      <c r="F76" s="294" t="str">
        <f t="shared" ca="1" si="32"/>
        <v>DU</v>
      </c>
      <c r="G76" s="294" t="str">
        <f t="shared" ca="1" si="33"/>
        <v>UDU</v>
      </c>
      <c r="H76" s="874" t="str">
        <f t="shared" ca="1" si="34"/>
        <v/>
      </c>
      <c r="J76" s="89" vm="283">
        <f ca="1"/>
        <v>45758</v>
      </c>
      <c r="K76" s="89" vm="284">
        <f ca="1"/>
        <v>577.29999999999995</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85">
        <f ca="1"/>
        <v>45867</v>
      </c>
      <c r="C77" s="89" vm="286">
        <f ca="1"/>
        <v>623</v>
      </c>
      <c r="D77" s="1225">
        <f t="shared" ca="1" si="30"/>
        <v>-8.4354607671493793E-3</v>
      </c>
      <c r="E77" s="294" t="str" cm="1">
        <f t="array" aca="1" ref="E77" ca="1">_xlfn.IFS(D77&gt;ZPercent,"U",D77&lt;=-ZPercent,"D",TRUE,"Z")</f>
        <v>D</v>
      </c>
      <c r="F77" s="294" t="str">
        <f t="shared" ca="1" si="32"/>
        <v>UD</v>
      </c>
      <c r="G77" s="294" t="str">
        <f t="shared" ca="1" si="33"/>
        <v>DUD</v>
      </c>
      <c r="H77" s="874" t="str">
        <f t="shared" ca="1" si="34"/>
        <v/>
      </c>
      <c r="J77" s="89" vm="287">
        <f ca="1"/>
        <v>45761</v>
      </c>
      <c r="K77" s="89" vm="288">
        <f ca="1"/>
        <v>590</v>
      </c>
      <c r="N77" s="874" t="str">
        <f ca="1">IF(F77=[2]Sheet1!O75,"","dif")</f>
        <v>dif</v>
      </c>
    </row>
    <row r="78" spans="2:128" x14ac:dyDescent="0.3">
      <c r="B78" s="89" vm="289">
        <f ca="1"/>
        <v>45866</v>
      </c>
      <c r="C78" s="89" vm="290">
        <f ca="1"/>
        <v>628.29999999999995</v>
      </c>
      <c r="D78" s="1225">
        <f t="shared" ca="1" si="30"/>
        <v>3.8684080013225292E-2</v>
      </c>
      <c r="E78" s="294" t="str" cm="1">
        <f t="array" aca="1" ref="E78" ca="1">_xlfn.IFS(D78&gt;ZPercent,"U",D78&lt;=-ZPercent,"D",TRUE,"Z")</f>
        <v>U</v>
      </c>
      <c r="F78" s="294" t="str">
        <f t="shared" ca="1" si="32"/>
        <v>DU</v>
      </c>
      <c r="G78" s="294" t="str">
        <f t="shared" ca="1" si="33"/>
        <v>UDU</v>
      </c>
      <c r="H78" s="874" t="str">
        <f t="shared" ca="1" si="34"/>
        <v/>
      </c>
      <c r="J78" s="89" vm="291">
        <f ca="1"/>
        <v>45762</v>
      </c>
      <c r="K78" s="89" vm="292">
        <f ca="1"/>
        <v>605.4</v>
      </c>
      <c r="N78" s="874" t="str">
        <f ca="1">IF(F78=[2]Sheet1!O76,"","dif")</f>
        <v>dif</v>
      </c>
    </row>
    <row r="79" spans="2:128" x14ac:dyDescent="0.3">
      <c r="B79" s="89" vm="293">
        <f ca="1"/>
        <v>45863</v>
      </c>
      <c r="C79" s="89" vm="294">
        <f ca="1"/>
        <v>604.9</v>
      </c>
      <c r="D79" s="1225">
        <f t="shared" ca="1" si="30"/>
        <v>-1.7860042214645235E-2</v>
      </c>
      <c r="E79" s="294" t="str" cm="1">
        <f t="array" aca="1" ref="E79" ca="1">_xlfn.IFS(D79&gt;ZPercent,"U",D79&lt;=-ZPercent,"D",TRUE,"Z")</f>
        <v>D</v>
      </c>
      <c r="F79" s="294" t="str">
        <f t="shared" ca="1" si="32"/>
        <v>UD</v>
      </c>
      <c r="G79" s="294" t="str">
        <f t="shared" ca="1" si="33"/>
        <v>UUD</v>
      </c>
      <c r="H79" s="874" t="str">
        <f t="shared" ca="1" si="34"/>
        <v/>
      </c>
      <c r="J79" s="89" vm="295">
        <f ca="1"/>
        <v>45763</v>
      </c>
      <c r="K79" s="89" vm="296">
        <f ca="1"/>
        <v>574</v>
      </c>
      <c r="N79" s="874" t="str">
        <f ca="1">IF(F79=[2]Sheet1!O77,"","dif")</f>
        <v>dif</v>
      </c>
    </row>
    <row r="80" spans="2:128" x14ac:dyDescent="0.3">
      <c r="B80" s="89" vm="297">
        <f ca="1"/>
        <v>45862</v>
      </c>
      <c r="C80" s="89" vm="298">
        <f ca="1"/>
        <v>615.9</v>
      </c>
      <c r="D80" s="1225">
        <f t="shared" ca="1" si="30"/>
        <v>1.5331355093966294E-2</v>
      </c>
      <c r="E80" s="294" t="str" cm="1">
        <f t="array" aca="1" ref="E80" ca="1">_xlfn.IFS(D80&gt;ZPercent,"U",D80&lt;=-ZPercent,"D",TRUE,"Z")</f>
        <v>U</v>
      </c>
      <c r="F80" s="294" t="str">
        <f t="shared" ca="1" si="32"/>
        <v>UU</v>
      </c>
      <c r="G80" s="294" t="str">
        <f t="shared" ca="1" si="33"/>
        <v>DUU</v>
      </c>
      <c r="H80" s="874" t="str">
        <f t="shared" ca="1" si="34"/>
        <v/>
      </c>
      <c r="J80" s="89" vm="299">
        <f ca="1"/>
        <v>45764</v>
      </c>
      <c r="K80" s="89" vm="300">
        <f ca="1"/>
        <v>564.20000000000005</v>
      </c>
      <c r="N80" s="874" t="str">
        <f ca="1">IF(F80=[2]Sheet1!O78,"","dif")</f>
        <v>dif</v>
      </c>
    </row>
    <row r="81" spans="2:96" x14ac:dyDescent="0.3">
      <c r="B81" s="89" vm="301">
        <f ca="1"/>
        <v>45861</v>
      </c>
      <c r="C81" s="89" vm="302">
        <f ca="1"/>
        <v>606.6</v>
      </c>
      <c r="D81" s="1225">
        <f t="shared" ca="1" si="30"/>
        <v>6.9721115537849359E-3</v>
      </c>
      <c r="E81" s="294" t="str" cm="1">
        <f t="array" aca="1" ref="E81" ca="1">_xlfn.IFS(D81&gt;ZPercent,"U",D81&lt;=-ZPercent,"D",TRUE,"Z")</f>
        <v>U</v>
      </c>
      <c r="F81" s="294" t="str">
        <f t="shared" ca="1" si="32"/>
        <v>DU</v>
      </c>
      <c r="G81" s="294" t="str">
        <f t="shared" ca="1" si="33"/>
        <v>DDU</v>
      </c>
      <c r="H81" s="874" t="str">
        <f t="shared" ca="1" si="34"/>
        <v/>
      </c>
      <c r="J81" s="89" vm="303">
        <f ca="1"/>
        <v>45769</v>
      </c>
      <c r="K81" s="89" vm="304">
        <f ca="1"/>
        <v>561.1</v>
      </c>
      <c r="N81" s="874" t="str">
        <f ca="1">IF(F81=[2]Sheet1!O79,"","dif")</f>
        <v>dif</v>
      </c>
    </row>
    <row r="82" spans="2:96" x14ac:dyDescent="0.3">
      <c r="B82" s="89" vm="305">
        <f ca="1"/>
        <v>45860</v>
      </c>
      <c r="C82" s="89" vm="270">
        <f ca="1"/>
        <v>602.4</v>
      </c>
      <c r="D82" s="1225">
        <f t="shared" ca="1" si="30"/>
        <v>-3.477006889921494E-2</v>
      </c>
      <c r="E82" s="294" t="str" cm="1">
        <f t="array" aca="1" ref="E82" ca="1">_xlfn.IFS(D82&gt;ZPercent,"U",D82&lt;=-ZPercent,"D",TRUE,"Z")</f>
        <v>D</v>
      </c>
      <c r="F82" s="294" t="str">
        <f t="shared" ca="1" si="32"/>
        <v>DD</v>
      </c>
      <c r="G82" s="294" t="str">
        <f t="shared" ca="1" si="33"/>
        <v>DDD</v>
      </c>
      <c r="H82" s="874" t="str">
        <f t="shared" ca="1" si="34"/>
        <v/>
      </c>
      <c r="J82" s="89" vm="306">
        <f ca="1"/>
        <v>45770</v>
      </c>
      <c r="K82" s="89" vm="307">
        <f ca="1"/>
        <v>580.9</v>
      </c>
      <c r="N82" s="874" t="str">
        <f ca="1">IF(F82=[2]Sheet1!O80,"","dif")</f>
        <v>dif</v>
      </c>
    </row>
    <row r="83" spans="2:96" x14ac:dyDescent="0.3">
      <c r="B83" s="89" vm="308">
        <f ca="1"/>
        <v>45859</v>
      </c>
      <c r="C83" s="89" vm="309">
        <f ca="1"/>
        <v>624.1</v>
      </c>
      <c r="D83" s="1225">
        <f t="shared" ca="1" si="30"/>
        <v>-1.4838200473559554E-2</v>
      </c>
      <c r="E83" s="294" t="str" cm="1">
        <f t="array" aca="1" ref="E83" ca="1">_xlfn.IFS(D83&gt;ZPercent,"U",D83&lt;=-ZPercent,"D",TRUE,"Z")</f>
        <v>D</v>
      </c>
      <c r="F83" s="294" t="str">
        <f t="shared" ca="1" si="32"/>
        <v>DD</v>
      </c>
      <c r="G83" s="294" t="str">
        <f t="shared" ca="1" si="33"/>
        <v>UDD</v>
      </c>
      <c r="H83" s="874" t="str">
        <f t="shared" ca="1" si="34"/>
        <v/>
      </c>
      <c r="J83" s="89" vm="310">
        <f ca="1"/>
        <v>45771</v>
      </c>
      <c r="K83" s="89" vm="311">
        <f ca="1"/>
        <v>591.70000000000005</v>
      </c>
      <c r="N83" s="874" t="str">
        <f ca="1">IF(F83=[2]Sheet1!O81,"","dif")</f>
        <v>dif</v>
      </c>
    </row>
    <row r="84" spans="2:96" x14ac:dyDescent="0.3">
      <c r="B84" s="89" vm="312">
        <f ca="1"/>
        <v>45856</v>
      </c>
      <c r="C84" s="89" vm="313">
        <f ca="1"/>
        <v>633.5</v>
      </c>
      <c r="D84" s="1225">
        <f t="shared" ca="1" si="30"/>
        <v>-2.5684404798523599E-2</v>
      </c>
      <c r="E84" s="294" t="str" cm="1">
        <f t="array" aca="1" ref="E84" ca="1">_xlfn.IFS(D84&gt;ZPercent,"U",D84&lt;=-ZPercent,"D",TRUE,"Z")</f>
        <v>D</v>
      </c>
      <c r="F84" s="294" t="str">
        <f t="shared" ca="1" si="32"/>
        <v>UD</v>
      </c>
      <c r="G84" s="294" t="str">
        <f t="shared" ca="1" si="33"/>
        <v>DUD</v>
      </c>
      <c r="H84" s="874" t="str">
        <f t="shared" ca="1" si="34"/>
        <v/>
      </c>
      <c r="J84" s="89" vm="314">
        <f ca="1"/>
        <v>45772</v>
      </c>
      <c r="K84" s="89" vm="315">
        <f ca="1"/>
        <v>588.9</v>
      </c>
      <c r="N84" s="874" t="str">
        <f ca="1">IF(F84=[2]Sheet1!O82,"","dif")</f>
        <v>dif</v>
      </c>
    </row>
    <row r="85" spans="2:96" x14ac:dyDescent="0.3">
      <c r="B85" s="89" vm="316">
        <f ca="1"/>
        <v>45855</v>
      </c>
      <c r="C85" s="89" vm="317">
        <f ca="1"/>
        <v>650.20000000000005</v>
      </c>
      <c r="D85" s="1225">
        <f t="shared" ca="1" si="30"/>
        <v>3.8990092681368001E-2</v>
      </c>
      <c r="E85" s="294" t="str" cm="1">
        <f t="array" aca="1" ref="E85" ca="1">_xlfn.IFS(D85&gt;ZPercent,"U",D85&lt;=-ZPercent,"D",TRUE,"Z")</f>
        <v>U</v>
      </c>
      <c r="F85" s="294" t="str">
        <f t="shared" ca="1" si="32"/>
        <v>DU</v>
      </c>
      <c r="G85" s="294" t="str">
        <f t="shared" ca="1" si="33"/>
        <v>UDU</v>
      </c>
      <c r="H85" s="874" t="str">
        <f t="shared" ca="1" si="34"/>
        <v/>
      </c>
      <c r="J85" s="89" vm="318">
        <f ca="1"/>
        <v>45775</v>
      </c>
      <c r="K85" s="89" vm="319">
        <f ca="1"/>
        <v>584.5</v>
      </c>
      <c r="N85" s="874" t="str">
        <f ca="1">IF(F85=[2]Sheet1!O83,"","dif")</f>
        <v>dif</v>
      </c>
    </row>
    <row r="86" spans="2:96" ht="23" thickBot="1" x14ac:dyDescent="0.35">
      <c r="B86" s="89" vm="320">
        <f ca="1"/>
        <v>45854</v>
      </c>
      <c r="C86" s="89" vm="321">
        <f ca="1"/>
        <v>625.79999999999995</v>
      </c>
      <c r="D86" s="1225">
        <f t="shared" ca="1" si="30"/>
        <v>-0.11372326865883028</v>
      </c>
      <c r="E86" s="294" t="str" cm="1">
        <f t="array" aca="1" ref="E86" ca="1">_xlfn.IFS(D86&gt;ZPercent,"U",D86&lt;=-ZPercent,"D",TRUE,"Z")</f>
        <v>D</v>
      </c>
      <c r="F86" s="294" t="str">
        <f t="shared" ca="1" si="32"/>
        <v>UD</v>
      </c>
      <c r="G86" s="294" t="str">
        <f t="shared" ca="1" si="33"/>
        <v>ZUD</v>
      </c>
      <c r="H86" s="874" t="str">
        <f t="shared" ca="1" si="34"/>
        <v/>
      </c>
      <c r="J86" s="89" vm="322">
        <f ca="1"/>
        <v>45776</v>
      </c>
      <c r="K86" s="89" vm="323">
        <f ca="1"/>
        <v>585</v>
      </c>
      <c r="N86" s="874" t="str">
        <f ca="1">IF(F86=[2]Sheet1!O84,"","dif")</f>
        <v>dif</v>
      </c>
    </row>
    <row r="87" spans="2:96" ht="23" thickBot="1" x14ac:dyDescent="0.35">
      <c r="B87" s="89" vm="324">
        <f ca="1"/>
        <v>45853</v>
      </c>
      <c r="C87" s="89" vm="99">
        <f ca="1"/>
        <v>706.1</v>
      </c>
      <c r="D87" s="1225">
        <f t="shared" ca="1" si="30"/>
        <v>2.7353411901644215E-2</v>
      </c>
      <c r="E87" s="294" t="str" cm="1">
        <f t="array" aca="1" ref="E87" ca="1">_xlfn.IFS(D87&gt;ZPercent,"U",D87&lt;=-ZPercent,"D",TRUE,"Z")</f>
        <v>U</v>
      </c>
      <c r="F87" s="294" t="str">
        <f t="shared" ca="1" si="32"/>
        <v>ZU</v>
      </c>
      <c r="G87" s="294" t="str">
        <f t="shared" ca="1" si="33"/>
        <v>DZU</v>
      </c>
      <c r="H87" s="874" t="str">
        <f t="shared" ca="1" si="34"/>
        <v/>
      </c>
      <c r="J87" s="89" vm="325">
        <f ca="1"/>
        <v>45777</v>
      </c>
      <c r="K87" s="89" vm="326">
        <f ca="1"/>
        <v>582.5</v>
      </c>
      <c r="N87" s="874" t="str">
        <f ca="1">IF(F87=[2]Sheet1!O85,"","dif")</f>
        <v>dif</v>
      </c>
      <c r="V87" s="930" t="s">
        <v>2749</v>
      </c>
      <c r="X87" s="893" t="str">
        <f>J3</f>
        <v>ASML</v>
      </c>
      <c r="Y87" s="893" t="str">
        <f ca="1">LastMark2</f>
        <v>DD</v>
      </c>
      <c r="Z87" s="875" t="s">
        <v>1669</v>
      </c>
      <c r="AA87" s="874" t="s">
        <v>1670</v>
      </c>
    </row>
    <row r="88" spans="2:96" ht="23" thickBot="1" x14ac:dyDescent="0.35">
      <c r="B88" s="89" vm="327">
        <f ca="1"/>
        <v>45852</v>
      </c>
      <c r="C88" s="89" vm="328">
        <f ca="1"/>
        <v>687.3</v>
      </c>
      <c r="D88" s="1225">
        <f t="shared" ca="1" si="30"/>
        <v>4.9714870595115911E-3</v>
      </c>
      <c r="E88" s="294" t="str" cm="1">
        <f t="array" aca="1" ref="E88" ca="1">_xlfn.IFS(D88&gt;ZPercent,"U",D88&lt;=-ZPercent,"D",TRUE,"Z")</f>
        <v>Z</v>
      </c>
      <c r="F88" s="294" t="str">
        <f t="shared" ca="1" si="32"/>
        <v>DZ</v>
      </c>
      <c r="G88" s="294" t="str">
        <f t="shared" ca="1" si="33"/>
        <v>UDZ</v>
      </c>
      <c r="H88" s="874" t="str">
        <f t="shared" ca="1" si="34"/>
        <v/>
      </c>
      <c r="J88" s="89" vm="329">
        <f ca="1"/>
        <v>45779</v>
      </c>
      <c r="K88" s="89" vm="330">
        <f ca="1"/>
        <v>608.9</v>
      </c>
      <c r="N88" s="874" t="str">
        <f ca="1">IF(F88=[2]Sheet1!O86,"","dif")</f>
        <v>dif</v>
      </c>
      <c r="X88" s="874" t="s">
        <v>2722</v>
      </c>
      <c r="Y88" s="1308" t="str">
        <f ca="1">RIGHT(Y87,1)&amp;"U"</f>
        <v>DU</v>
      </c>
      <c r="Z88" s="1209">
        <f ca="1">IFERROR(_xlfn.MINIFS(AE93:AM101, AE93:AM101, "&gt;0", AE93:AM101, "&lt;1"), "")</f>
        <v>0.10526315789473684</v>
      </c>
      <c r="AA88" s="1210">
        <f ca="1">IFERROR(_xlfn.MAXIFS(AE93:AM101, AE93:AM101, "&gt;0", AE93:AM101, "&lt;1"), "")</f>
        <v>0.66666666666666663</v>
      </c>
      <c r="BA88" s="1459" t="str">
        <f>CG88</f>
        <v>ASML</v>
      </c>
      <c r="BB88" s="1460" t="str">
        <f ca="1">CH88</f>
        <v>DD</v>
      </c>
      <c r="BU88" s="972" t="s">
        <v>2779</v>
      </c>
      <c r="CG88" s="893" t="str">
        <f>B2</f>
        <v>ASML</v>
      </c>
      <c r="CH88" s="893" t="str">
        <f ca="1">LastMark2</f>
        <v>DD</v>
      </c>
      <c r="CI88" s="875" t="s">
        <v>1669</v>
      </c>
      <c r="CJ88" s="874" t="s">
        <v>1670</v>
      </c>
    </row>
    <row r="89" spans="2:96" ht="28" thickBot="1" x14ac:dyDescent="0.4">
      <c r="B89" s="89" vm="331">
        <f ca="1"/>
        <v>45849</v>
      </c>
      <c r="C89" s="89" vm="332">
        <f ca="1"/>
        <v>683.9</v>
      </c>
      <c r="D89" s="1225">
        <f t="shared" ca="1" si="30"/>
        <v>-8.8405797101449596E-3</v>
      </c>
      <c r="E89" s="294" t="str" cm="1">
        <f t="array" aca="1" ref="E89" ca="1">_xlfn.IFS(D89&gt;ZPercent,"U",D89&lt;=-ZPercent,"D",TRUE,"Z")</f>
        <v>D</v>
      </c>
      <c r="F89" s="294" t="str">
        <f t="shared" ca="1" si="32"/>
        <v>UD</v>
      </c>
      <c r="G89" s="294" t="str">
        <f t="shared" ca="1" si="33"/>
        <v>ZUD</v>
      </c>
      <c r="H89" s="874" t="str">
        <f t="shared" ca="1" si="34"/>
        <v/>
      </c>
      <c r="J89" s="89" vm="333">
        <f ca="1"/>
        <v>45782</v>
      </c>
      <c r="K89" s="89" vm="334">
        <f ca="1"/>
        <v>606.79999999999995</v>
      </c>
      <c r="N89" s="874" t="str">
        <f ca="1">IF(F89=[2]Sheet1!O87,"","dif")</f>
        <v>dif</v>
      </c>
      <c r="X89" s="1306" t="str">
        <f ca="1">IF(Y89=0,"No "&amp;Y88,"Up")</f>
        <v>Up</v>
      </c>
      <c r="Y89" s="1312">
        <f ca="1">MAX(AB93:AB101)</f>
        <v>0.5</v>
      </c>
      <c r="AE89" s="1457" t="s">
        <v>2773</v>
      </c>
      <c r="AQ89" s="1457" t="s">
        <v>2724</v>
      </c>
      <c r="BD89" s="1457" t="s">
        <v>2772</v>
      </c>
      <c r="CG89" s="874" t="s">
        <v>2722</v>
      </c>
      <c r="CH89" s="1308" t="str">
        <f ca="1">RIGHT(CH88,1)&amp;"U"</f>
        <v>DU</v>
      </c>
      <c r="CI89" s="1209">
        <f ca="1">IFERROR(_xlfn.MINIFS(CJ93:CR101, CJ93:CR101, "&gt;0", CJ93:CR101, "&lt;1"), "")</f>
        <v>0.25</v>
      </c>
      <c r="CJ89" s="1210">
        <f ca="1">IFERROR(_xlfn.MAXIFS(CJ93:CR101, CJ93:CR101, "&gt;0", CJ93:CR101, "&lt;1"), "")</f>
        <v>0.66666666666666663</v>
      </c>
    </row>
    <row r="90" spans="2:96" x14ac:dyDescent="0.3">
      <c r="B90" s="89" vm="335">
        <f ca="1"/>
        <v>45848</v>
      </c>
      <c r="C90" s="89" vm="4">
        <f ca="1"/>
        <v>690</v>
      </c>
      <c r="D90" s="1225">
        <f t="shared" ca="1" si="30"/>
        <v>1.5004413062665558E-2</v>
      </c>
      <c r="E90" s="294" t="str" cm="1">
        <f t="array" aca="1" ref="E90" ca="1">_xlfn.IFS(D90&gt;ZPercent,"U",D90&lt;=-ZPercent,"D",TRUE,"Z")</f>
        <v>U</v>
      </c>
      <c r="F90" s="294" t="str">
        <f t="shared" ca="1" si="32"/>
        <v>ZU</v>
      </c>
      <c r="G90" s="294" t="str">
        <f t="shared" ca="1" si="33"/>
        <v>UZU</v>
      </c>
      <c r="H90" s="874" t="str">
        <f t="shared" ca="1" si="34"/>
        <v/>
      </c>
      <c r="J90" s="89" vm="336">
        <f ca="1"/>
        <v>45783</v>
      </c>
      <c r="K90" s="89" vm="337">
        <f ca="1"/>
        <v>601.5</v>
      </c>
      <c r="N90" s="874" t="str">
        <f ca="1">IF(F90=[2]Sheet1!O88,"","dif")</f>
        <v>dif</v>
      </c>
      <c r="AE90" s="888">
        <f ca="1">MAX(AE92:AE100)</f>
        <v>0.53125</v>
      </c>
      <c r="AF90" s="888">
        <f t="shared" ref="AF90:AM90" ca="1" si="43">MAX(AF92:AF100)</f>
        <v>0.45714285714285713</v>
      </c>
      <c r="AG90" s="888">
        <f t="shared" ca="1" si="43"/>
        <v>0.5625</v>
      </c>
      <c r="AH90" s="888">
        <f t="shared" ca="1" si="43"/>
        <v>0.57894736842105265</v>
      </c>
      <c r="AI90" s="888">
        <f t="shared" ca="1" si="43"/>
        <v>0.59090909090909094</v>
      </c>
      <c r="AJ90" s="888">
        <f t="shared" ca="1" si="43"/>
        <v>0.33333333333333331</v>
      </c>
      <c r="AK90" s="888">
        <f t="shared" ca="1" si="43"/>
        <v>0.41666666666666669</v>
      </c>
      <c r="AL90" s="888">
        <f t="shared" ca="1" si="43"/>
        <v>0.25</v>
      </c>
      <c r="AM90" s="888">
        <f t="shared" ca="1" si="43"/>
        <v>0.25</v>
      </c>
      <c r="CG90" s="1306" t="str">
        <f ca="1">IF(CH90=0,"No "&amp;CH89,"Up")</f>
        <v>Up</v>
      </c>
      <c r="CH90" s="1312">
        <f ca="1">MAX(CG93:CG101)</f>
        <v>1</v>
      </c>
    </row>
    <row r="91" spans="2:96" ht="23" thickBot="1" x14ac:dyDescent="0.35">
      <c r="B91" s="89" vm="338">
        <f ca="1"/>
        <v>45847</v>
      </c>
      <c r="C91" s="89" vm="339">
        <f ca="1"/>
        <v>679.8</v>
      </c>
      <c r="D91" s="1225">
        <f t="shared" ca="1" si="30"/>
        <v>1.3256738842244474E-3</v>
      </c>
      <c r="E91" s="294" t="str" cm="1">
        <f t="array" aca="1" ref="E91" ca="1">_xlfn.IFS(D91&gt;ZPercent,"U",D91&lt;=-ZPercent,"D",TRUE,"Z")</f>
        <v>Z</v>
      </c>
      <c r="F91" s="294" t="str">
        <f t="shared" ca="1" si="32"/>
        <v>UZ</v>
      </c>
      <c r="G91" s="294" t="str">
        <f t="shared" ca="1" si="33"/>
        <v>UUZ</v>
      </c>
      <c r="H91" s="874" t="str">
        <f t="shared" ca="1" si="34"/>
        <v/>
      </c>
      <c r="J91" s="89" vm="340">
        <f ca="1"/>
        <v>45784</v>
      </c>
      <c r="K91" s="89" vm="341">
        <f ca="1"/>
        <v>604.70000000000005</v>
      </c>
      <c r="N91" s="874" t="str">
        <f ca="1">IF(F91=[2]Sheet1!O89,"","dif")</f>
        <v>dif</v>
      </c>
      <c r="AC91" s="875"/>
      <c r="AE91" s="874">
        <v>1</v>
      </c>
      <c r="AF91" s="874">
        <v>2</v>
      </c>
      <c r="AG91" s="874">
        <v>3</v>
      </c>
      <c r="AH91" s="874">
        <v>4</v>
      </c>
      <c r="AI91" s="874">
        <v>5</v>
      </c>
      <c r="AJ91" s="874">
        <v>6</v>
      </c>
      <c r="AK91" s="874">
        <v>7</v>
      </c>
      <c r="AL91" s="874">
        <v>8</v>
      </c>
      <c r="AM91" s="874">
        <v>9</v>
      </c>
      <c r="AP91" s="1495"/>
      <c r="BD91" s="888">
        <f ca="1">SUM(BD93:BD101)</f>
        <v>1</v>
      </c>
      <c r="BE91" s="888">
        <f t="shared" ref="BE91:BL91" ca="1" si="44">SUM(BE93:BE101)</f>
        <v>1</v>
      </c>
      <c r="BF91" s="888">
        <f t="shared" ca="1" si="44"/>
        <v>1</v>
      </c>
      <c r="BG91" s="888">
        <f t="shared" ca="1" si="44"/>
        <v>1</v>
      </c>
      <c r="BH91" s="888">
        <f t="shared" ca="1" si="44"/>
        <v>0.99999999999999989</v>
      </c>
      <c r="BI91" s="888">
        <f t="shared" ca="1" si="44"/>
        <v>0.99999999999999989</v>
      </c>
      <c r="BJ91" s="888">
        <f t="shared" ca="1" si="44"/>
        <v>1</v>
      </c>
      <c r="BK91" s="888">
        <f t="shared" ca="1" si="44"/>
        <v>1</v>
      </c>
      <c r="BL91" s="888">
        <f t="shared" ca="1" si="44"/>
        <v>1</v>
      </c>
      <c r="BM91" s="888">
        <f ca="1">SUM(BD91:BL91)</f>
        <v>9</v>
      </c>
      <c r="CH91" s="875"/>
    </row>
    <row r="92" spans="2:96" ht="23" thickBot="1" x14ac:dyDescent="0.35">
      <c r="B92" s="89" vm="342">
        <f ca="1"/>
        <v>45846</v>
      </c>
      <c r="C92" s="89" vm="343">
        <f ca="1"/>
        <v>678.9</v>
      </c>
      <c r="D92" s="1225">
        <f t="shared" ca="1" si="30"/>
        <v>1.0869565217391236E-2</v>
      </c>
      <c r="E92" s="294" t="str" cm="1">
        <f t="array" aca="1" ref="E92" ca="1">_xlfn.IFS(D92&gt;ZPercent,"U",D92&lt;=-ZPercent,"D",TRUE,"Z")</f>
        <v>U</v>
      </c>
      <c r="F92" s="294" t="str">
        <f t="shared" ca="1" si="32"/>
        <v>UU</v>
      </c>
      <c r="G92" s="294" t="str">
        <f t="shared" ca="1" si="33"/>
        <v>DUU</v>
      </c>
      <c r="H92" s="874" t="str">
        <f t="shared" ca="1" si="34"/>
        <v/>
      </c>
      <c r="J92" s="89" vm="344">
        <f ca="1"/>
        <v>45785</v>
      </c>
      <c r="K92" s="89" vm="345">
        <f ca="1"/>
        <v>630.5</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ca="1">R93</f>
        <v>DD</v>
      </c>
      <c r="AF92" s="1232" t="str">
        <f ca="1">S93</f>
        <v>UD</v>
      </c>
      <c r="AG92" s="1232" t="str">
        <f ca="1">T93</f>
        <v>DU</v>
      </c>
      <c r="AH92" s="1232" t="str">
        <f ca="1">U93</f>
        <v>UU</v>
      </c>
      <c r="AI92" s="1232" t="str">
        <f ca="1">V93</f>
        <v>ZU</v>
      </c>
      <c r="AJ92" s="1232" t="str">
        <f ca="1">W93</f>
        <v>UZ</v>
      </c>
      <c r="AK92" s="1232" t="str">
        <f ca="1">X93</f>
        <v>ZD</v>
      </c>
      <c r="AL92" s="1232" t="str">
        <f ca="1">Y93</f>
        <v>DZ</v>
      </c>
      <c r="AM92" s="1233" t="str">
        <f ca="1">Z93</f>
        <v>ZZ</v>
      </c>
      <c r="AP92" s="1496"/>
      <c r="AQ92" s="1251"/>
      <c r="AR92" s="1239" t="str">
        <f ca="1">AE92</f>
        <v>DD</v>
      </c>
      <c r="AS92" s="1493" t="str">
        <f ca="1">AF92</f>
        <v>UD</v>
      </c>
      <c r="AT92" s="1493" t="str">
        <f ca="1">AG92</f>
        <v>DU</v>
      </c>
      <c r="AU92" s="1493" t="str">
        <f ca="1">AH92</f>
        <v>UU</v>
      </c>
      <c r="AV92" s="1493" t="str">
        <f ca="1">AI92</f>
        <v>ZU</v>
      </c>
      <c r="AW92" s="1493" t="str">
        <f ca="1">AJ92</f>
        <v>UZ</v>
      </c>
      <c r="AX92" s="1493" t="str">
        <f ca="1">AK92</f>
        <v>ZD</v>
      </c>
      <c r="AY92" s="1493" t="str">
        <f ca="1">AL92</f>
        <v>DZ</v>
      </c>
      <c r="AZ92" s="1494" t="str">
        <f ca="1">AM92</f>
        <v>ZZ</v>
      </c>
      <c r="BD92" s="874" t="s">
        <v>2744</v>
      </c>
      <c r="BE92" s="874" t="s">
        <v>2740</v>
      </c>
      <c r="BF92" s="874" t="s">
        <v>2742</v>
      </c>
      <c r="BG92" s="874" t="s">
        <v>2746</v>
      </c>
      <c r="BH92" s="874" t="s">
        <v>2738</v>
      </c>
      <c r="BI92" s="874" t="s">
        <v>2739</v>
      </c>
      <c r="BJ92" s="874" t="s">
        <v>2741</v>
      </c>
      <c r="BK92" s="874" t="s">
        <v>2745</v>
      </c>
      <c r="BL92" s="874" t="s">
        <v>2743</v>
      </c>
      <c r="BN92" s="1217" t="s">
        <v>2777</v>
      </c>
      <c r="BO92" s="1217" t="s">
        <v>2778</v>
      </c>
      <c r="BU92" s="1231">
        <f ca="1">COUNTA(BU93:BU101)</f>
        <v>8</v>
      </c>
      <c r="BV92" s="1239" t="str" cm="1">
        <f t="array" aca="1" ref="BV92:CC92" ca="1">TRANSPOSE(_xlfn.ANCHORARRAY(BU93))</f>
        <v>DD</v>
      </c>
      <c r="BW92" s="1232" t="str">
        <f ca="1"/>
        <v>UD</v>
      </c>
      <c r="BX92" s="1232" t="str">
        <f ca="1"/>
        <v>DU</v>
      </c>
      <c r="BY92" s="1232" t="str">
        <f ca="1"/>
        <v>UU</v>
      </c>
      <c r="BZ92" s="1232" t="str">
        <f ca="1"/>
        <v>ZU</v>
      </c>
      <c r="CA92" s="1232" t="str">
        <f ca="1"/>
        <v>UZ</v>
      </c>
      <c r="CB92" s="1232" t="str">
        <f ca="1"/>
        <v>ZD</v>
      </c>
      <c r="CC92" s="1232" t="str">
        <f ca="1"/>
        <v>DZ</v>
      </c>
      <c r="CD92" s="1233"/>
      <c r="CH92" s="1318">
        <f ca="1">SUM(CH93:CH101)</f>
        <v>19</v>
      </c>
      <c r="CI92" s="1319">
        <f ca="1">ROWS(_xlfn.UNIQUE(G66:G75))</f>
        <v>5</v>
      </c>
      <c r="CJ92" s="1239" t="str" cm="1">
        <f t="array" aca="1" ref="CJ92:CR92" ca="1">TRANSPOSE(CI93:CI101)</f>
        <v>DD</v>
      </c>
      <c r="CK92" s="1232" t="str">
        <f ca="1"/>
        <v>UD</v>
      </c>
      <c r="CL92" s="1232" t="str">
        <f ca="1"/>
        <v>DU</v>
      </c>
      <c r="CM92" s="1232" t="str">
        <f ca="1"/>
        <v>UU</v>
      </c>
      <c r="CN92" s="1232" t="str">
        <f ca="1"/>
        <v>ZU</v>
      </c>
      <c r="CO92" s="1232" t="str">
        <f ca="1"/>
        <v>UZ</v>
      </c>
      <c r="CP92" s="1232" t="str">
        <f ca="1"/>
        <v>ZD</v>
      </c>
      <c r="CQ92" s="1232" t="str">
        <f ca="1"/>
        <v>DZ</v>
      </c>
      <c r="CR92" s="1233">
        <f ca="1"/>
        <v>0</v>
      </c>
    </row>
    <row r="93" spans="2:96" ht="24" thickTop="1" thickBot="1" x14ac:dyDescent="0.35">
      <c r="B93" s="89" vm="346">
        <f ca="1"/>
        <v>45845</v>
      </c>
      <c r="C93" s="89" vm="347">
        <f ca="1"/>
        <v>671.6</v>
      </c>
      <c r="D93" s="1225">
        <f t="shared" ca="1" si="30"/>
        <v>1.8501668183196915E-2</v>
      </c>
      <c r="E93" s="294" t="str" cm="1">
        <f t="array" aca="1" ref="E93" ca="1">_xlfn.IFS(D93&gt;ZPercent,"U",D93&lt;=-ZPercent,"D",TRUE,"Z")</f>
        <v>U</v>
      </c>
      <c r="F93" s="294" t="str">
        <f t="shared" ca="1" si="32"/>
        <v>DU</v>
      </c>
      <c r="G93" s="294" t="str">
        <f t="shared" ca="1" si="33"/>
        <v>ZDU</v>
      </c>
      <c r="H93" s="874" t="str">
        <f t="shared" ca="1" si="34"/>
        <v/>
      </c>
      <c r="J93" s="89" vm="348">
        <f ca="1"/>
        <v>45786</v>
      </c>
      <c r="K93" s="89" vm="349">
        <f ca="1"/>
        <v>626.79999999999995</v>
      </c>
      <c r="N93" s="874" t="str">
        <f ca="1">IF(F93=[2]Sheet1!O91,"","dif")</f>
        <v>dif</v>
      </c>
      <c r="Q93" s="1231">
        <f ca="1">ROWS(_xlfn.UNIQUE(G66:G75))</f>
        <v>5</v>
      </c>
      <c r="R93" s="1236" t="str" cm="1">
        <f t="array" aca="1" ref="R93:Z93" ca="1">TRANSPOSE(_xlfn.ANCHORARRAY(Q94))</f>
        <v>DD</v>
      </c>
      <c r="S93" s="1237" t="str">
        <f ca="1"/>
        <v>UD</v>
      </c>
      <c r="T93" s="1237" t="str">
        <f ca="1"/>
        <v>DU</v>
      </c>
      <c r="U93" s="1237" t="str">
        <f ca="1"/>
        <v>UU</v>
      </c>
      <c r="V93" s="1237" t="str">
        <f ca="1"/>
        <v>ZU</v>
      </c>
      <c r="W93" s="1237" t="str">
        <f ca="1"/>
        <v>UZ</v>
      </c>
      <c r="X93" s="1237" t="str">
        <f ca="1"/>
        <v>ZD</v>
      </c>
      <c r="Y93" s="1237" t="str">
        <f ca="1"/>
        <v>DZ</v>
      </c>
      <c r="Z93" s="1238" t="str">
        <f ca="1"/>
        <v>ZZ</v>
      </c>
      <c r="AB93" s="1208" cm="1">
        <f t="array" aca="1" ref="AB93" ca="1">IFERROR(INDEX($AE93:$AM93,
       MATCH(TRUE,
             (($AD93=Y$87)*
              ($AE$92:$AM$92=$Y$88)*
              ($AE93:$AM93&gt;0))&gt;0,
       0)),0)</f>
        <v>0.5</v>
      </c>
      <c r="AC93" s="1305">
        <f ca="1">SUM(R94:Z94)</f>
        <v>30</v>
      </c>
      <c r="AD93" s="1234" t="str">
        <f ca="1">Q94</f>
        <v>DD</v>
      </c>
      <c r="AE93" s="1240">
        <f ca="1">IF(R94=0,0,R94/$AC93)</f>
        <v>0.36666666666666664</v>
      </c>
      <c r="AF93" s="1226">
        <f ca="1">IF(S94=0,0,S94/$AC93)</f>
        <v>0</v>
      </c>
      <c r="AG93" s="1226">
        <f ca="1">IF(T94=0,0,T94/$AC93)</f>
        <v>0.5</v>
      </c>
      <c r="AH93" s="1226">
        <f ca="1">IF(U94=0,0,U94/$AC93)</f>
        <v>0</v>
      </c>
      <c r="AI93" s="1226">
        <f ca="1">IF(V94=0,0,V94/$AC93)</f>
        <v>0</v>
      </c>
      <c r="AJ93" s="1226">
        <f ca="1">IF(W94=0,0,W94/$AC93)</f>
        <v>0</v>
      </c>
      <c r="AK93" s="1226">
        <f ca="1">IF(X94=0,0,X94/$AC93)</f>
        <v>0</v>
      </c>
      <c r="AL93" s="1226">
        <f ca="1">IF(Y94=0,0,Y94/$AC93)</f>
        <v>0.13333333333333333</v>
      </c>
      <c r="AM93" s="1241">
        <f ca="1">IF(Z94=0,0,Z94/$AC93)</f>
        <v>0</v>
      </c>
      <c r="AP93" s="1497"/>
      <c r="AQ93" s="1249" t="str">
        <f ca="1">Q94</f>
        <v>DD</v>
      </c>
      <c r="AR93" s="1240">
        <f ca="1">AE93/SUM(AE$93:AE$101)</f>
        <v>0.33781190019193852</v>
      </c>
      <c r="AS93" s="1226">
        <f t="shared" ref="AS93:AS101" ca="1" si="45">AF93/SUM(AF$93:AF$101)</f>
        <v>0</v>
      </c>
      <c r="AT93" s="1226">
        <f t="shared" ref="AT93:AT101" ca="1" si="46">AG93/SUM(AG$93:AG$101)</f>
        <v>0.35555555555555557</v>
      </c>
      <c r="AU93" s="1226">
        <f t="shared" ref="AU93:AU101" ca="1" si="47">AH93/SUM(AH$93:AH$101)</f>
        <v>0</v>
      </c>
      <c r="AV93" s="1226">
        <f t="shared" ref="AV93:AV101" ca="1" si="48">AI93/SUM(AI$93:AI$101)</f>
        <v>0</v>
      </c>
      <c r="AW93" s="1226">
        <f t="shared" ref="AW93:AW101" ca="1" si="49">AJ93/SUM(AJ$93:AJ$101)</f>
        <v>0</v>
      </c>
      <c r="AX93" s="1226">
        <f t="shared" ref="AX93:AX101" ca="1" si="50">AK93/SUM(AK$93:AK$101)</f>
        <v>0</v>
      </c>
      <c r="AY93" s="1226">
        <f t="shared" ref="AY93:AY101" ca="1" si="51">AL93/SUM(AL$93:AL$101)</f>
        <v>0.26229508196721313</v>
      </c>
      <c r="AZ93" s="1241">
        <f t="shared" ref="AZ93:AZ101" ca="1" si="52">AM93/SUM(AM$93:AM$101)</f>
        <v>0</v>
      </c>
      <c r="BC93" s="874" t="str">
        <f ca="1">AD93</f>
        <v>DD</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0.44611883600917429</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0.35013331983259077</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0.36666666666666664</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53">SUM(BD93:BL93)</f>
        <v>1.1629188225084317</v>
      </c>
      <c r="BN93" s="1486">
        <f ca="1">IF(MarkCurr=BC93,_xlfn.XLOOKUP(MAX(BD93:BL93),BD93:BL93,BD93:BL93),"")</f>
        <v>0.44611883600917429</v>
      </c>
      <c r="BO93" s="1490">
        <f ca="1">MAX(INDEX(BD123:BL131,ROW()-ROW(BO$92),MATCH(RIGHT(MarkCurr,1)&amp;"U",$BD$92:$BL$92,0)))</f>
        <v>0</v>
      </c>
      <c r="BT93" s="1305">
        <f ca="1">SUM(BV93:CD93)</f>
        <v>1</v>
      </c>
      <c r="BU93" s="1234" t="str" cm="1">
        <f t="array" aca="1" ref="BU93:BU100" ca="1">_xlfn.UNIQUE(F$5:F$25)</f>
        <v>DD</v>
      </c>
      <c r="BV93" s="890" cm="1">
        <f t="array" aca="1" ref="BV93" ca="1">SUM( ($F$7:$F$25=$Q94) * ($F$6:$F$24=BV$92) )</f>
        <v>0</v>
      </c>
      <c r="BW93" s="1321" cm="1">
        <f t="array" aca="1" ref="BW93" ca="1">SUM( ($F$7:$F$25=$Q94) * ($F$6:$F$24=BW$92) )</f>
        <v>0</v>
      </c>
      <c r="BX93" s="1321" cm="1">
        <f t="array" aca="1" ref="BX93" ca="1">SUM( ($F$7:$F$25=$Q94) * ($F$6:$F$24=BX$92) )</f>
        <v>1</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0</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1</v>
      </c>
      <c r="CH93" s="1305">
        <f ca="1">SUM(BV93:CD93)</f>
        <v>1</v>
      </c>
      <c r="CI93" s="1217" t="str" cm="1">
        <f t="array" aca="1" ref="CI93:CI100" ca="1">_xlfn.UNIQUE(F$5:F$25)</f>
        <v>DD</v>
      </c>
      <c r="CJ93" s="1240">
        <f ca="1">IF(BV93=0,0,BV93/$CH93)</f>
        <v>0</v>
      </c>
      <c r="CK93" s="1226">
        <f ca="1">IF(BW93=0,0,BW93/$CH93)</f>
        <v>0</v>
      </c>
      <c r="CL93" s="1226">
        <f ca="1">IF(BX93=0,0,BX93/$CH93)</f>
        <v>1</v>
      </c>
      <c r="CM93" s="1226">
        <f ca="1">IF(BY93=0,0,BY93/$CH93)</f>
        <v>0</v>
      </c>
      <c r="CN93" s="1226">
        <f ca="1">IF(BZ93=0,0,BZ93/$CH93)</f>
        <v>0</v>
      </c>
      <c r="CO93" s="1226">
        <f ca="1">IF(CA93=0,0,CA93/$CH93)</f>
        <v>0</v>
      </c>
      <c r="CP93" s="1226">
        <f ca="1">IF(CB93=0,0,CB93/$CH93)</f>
        <v>0</v>
      </c>
      <c r="CQ93" s="1226">
        <f ca="1">IF(CC93=0,0,CC93/$CH93)</f>
        <v>0</v>
      </c>
      <c r="CR93" s="1241">
        <f ca="1">IF(CD93=0,0,CD93/$CH93)</f>
        <v>0</v>
      </c>
    </row>
    <row r="94" spans="2:96" ht="23" thickTop="1" x14ac:dyDescent="0.3">
      <c r="B94" s="89" vm="350">
        <f ca="1"/>
        <v>45842</v>
      </c>
      <c r="C94" s="89" vm="351">
        <f ca="1"/>
        <v>659.4</v>
      </c>
      <c r="D94" s="1225">
        <f t="shared" ca="1" si="30"/>
        <v>-2.6140894993354077E-2</v>
      </c>
      <c r="E94" s="294" t="str" cm="1">
        <f t="array" aca="1" ref="E94" ca="1">_xlfn.IFS(D94&gt;ZPercent,"U",D94&lt;=-ZPercent,"D",TRUE,"Z")</f>
        <v>D</v>
      </c>
      <c r="F94" s="294" t="str">
        <f t="shared" ca="1" si="32"/>
        <v>ZD</v>
      </c>
      <c r="G94" s="294" t="str">
        <f t="shared" ca="1" si="33"/>
        <v>UZD</v>
      </c>
      <c r="H94" s="874" t="str">
        <f t="shared" ca="1" si="34"/>
        <v>ZZ</v>
      </c>
      <c r="J94" s="89" vm="352">
        <f ca="1"/>
        <v>45789</v>
      </c>
      <c r="K94" s="89" vm="353">
        <f ca="1"/>
        <v>666.9</v>
      </c>
      <c r="N94" s="874" t="str">
        <f ca="1">IF(F94=[2]Sheet1!O92,"","dif")</f>
        <v>dif</v>
      </c>
      <c r="Q94" s="1234" t="str" cm="1">
        <f t="array" aca="1" ref="Q94:Q102" ca="1">_xlfn.UNIQUE(F5:F158)</f>
        <v>DD</v>
      </c>
      <c r="R94" s="1227" cm="1">
        <f t="array" aca="1" ref="R94" ca="1">SUM( ($F$7:$F$212=$Q94) * ($F$6:$F$211=R$93) )</f>
        <v>11</v>
      </c>
      <c r="S94" s="874" cm="1">
        <f t="array" aca="1" ref="S94" ca="1">SUM( ($F$7:$F$212=$Q94) * ($F$6:$F$211=S$93) )</f>
        <v>0</v>
      </c>
      <c r="T94" s="874" cm="1">
        <f t="array" aca="1" ref="T94" ca="1">SUM( ($F$7:$F$212=$Q94) * ($F$6:$F$211=T$93) )</f>
        <v>15</v>
      </c>
      <c r="U94" s="874" cm="1">
        <f t="array" aca="1" ref="U94" ca="1">SUM( ($F$7:$F$212=$Q94) * ($F$6:$F$211=U$93) )</f>
        <v>0</v>
      </c>
      <c r="V94" s="874" cm="1">
        <f t="array" aca="1" ref="V94" ca="1">SUM( ($F$7:$F$212=$Q94) * ($F$6:$F$211=V$93) )</f>
        <v>0</v>
      </c>
      <c r="W94" s="874" cm="1">
        <f t="array" aca="1" ref="W94" ca="1">SUM( ($F$7:$F$212=$Q94) * ($F$6:$F$211=W$93) )</f>
        <v>0</v>
      </c>
      <c r="X94" s="874" cm="1">
        <f t="array" aca="1" ref="X94" ca="1">SUM( ($F$7:$F$212=$Q94) * ($F$6:$F$211=X$93) )</f>
        <v>0</v>
      </c>
      <c r="Y94" s="874" cm="1">
        <f t="array" aca="1" ref="Y94" ca="1">SUM( ($F$7:$F$212=$Q94) * ($F$6:$F$211=Y$93) )</f>
        <v>4</v>
      </c>
      <c r="Z94" s="1228" cm="1">
        <f t="array" aca="1" ref="Z94" ca="1">SUM( ($F$7:$F$212=$Q94) * ($F$6:$F$211=Z$93) )</f>
        <v>0</v>
      </c>
      <c r="AB94" s="1208" cm="1">
        <f t="array" aca="1" ref="AB94" ca="1">IFERROR(INDEX($AE94:$AM94,
       MATCH(TRUE,
             (($AD94=Y$87)*
              ($AE$92:$AM$92=$Y$88)*
              ($AE94:$AM94&gt;0))&gt;0,
       0)),0)</f>
        <v>0</v>
      </c>
      <c r="AC94" s="1305">
        <f ca="1">SUM(R95:Z95)</f>
        <v>32</v>
      </c>
      <c r="AD94" s="1234" t="str">
        <f ca="1">Q95</f>
        <v>UD</v>
      </c>
      <c r="AE94" s="1242">
        <f ca="1">IF(R95=0,0,R95/$AC94)</f>
        <v>0.53125</v>
      </c>
      <c r="AF94" s="1243">
        <f ca="1">IF(S95=0,0,S95/$AC94)</f>
        <v>0</v>
      </c>
      <c r="AG94" s="1243">
        <f ca="1">IF(T95=0,0,T95/$AC94)</f>
        <v>0.34375</v>
      </c>
      <c r="AH94" s="1243">
        <f ca="1">IF(U95=0,0,U95/$AC94)</f>
        <v>0</v>
      </c>
      <c r="AI94" s="1243">
        <f ca="1">IF(V95=0,0,V95/$AC94)</f>
        <v>0</v>
      </c>
      <c r="AJ94" s="1243">
        <f ca="1">IF(W95=0,0,W95/$AC94)</f>
        <v>0</v>
      </c>
      <c r="AK94" s="1243">
        <f ca="1">IF(X95=0,0,X95/$AC94)</f>
        <v>0</v>
      </c>
      <c r="AL94" s="1243">
        <f ca="1">IF(Y95=0,0,Y95/$AC94)</f>
        <v>0.125</v>
      </c>
      <c r="AM94" s="1244">
        <f ca="1">IF(Z95=0,0,Z95/$AC94)</f>
        <v>0</v>
      </c>
      <c r="AP94" s="1497"/>
      <c r="AQ94" s="1249" t="str">
        <f ca="1">Q95</f>
        <v>UD</v>
      </c>
      <c r="AR94" s="1242">
        <f t="shared" ref="AR94:AR101" ca="1" si="54">AE94/SUM(AE$93:AE$101)</f>
        <v>0.4894433781190019</v>
      </c>
      <c r="AS94" s="1243">
        <f t="shared" ca="1" si="45"/>
        <v>0</v>
      </c>
      <c r="AT94" s="1243">
        <f t="shared" ca="1" si="46"/>
        <v>0.24444444444444444</v>
      </c>
      <c r="AU94" s="1243">
        <f t="shared" ca="1" si="47"/>
        <v>0</v>
      </c>
      <c r="AV94" s="1243">
        <f t="shared" ca="1" si="48"/>
        <v>0</v>
      </c>
      <c r="AW94" s="1243">
        <f t="shared" ca="1" si="49"/>
        <v>0</v>
      </c>
      <c r="AX94" s="1243">
        <f t="shared" ca="1" si="50"/>
        <v>0</v>
      </c>
      <c r="AY94" s="1243">
        <f t="shared" ca="1" si="51"/>
        <v>0.24590163934426232</v>
      </c>
      <c r="AZ94" s="1244">
        <f t="shared" ca="1" si="52"/>
        <v>0</v>
      </c>
      <c r="BC94" s="874" t="str">
        <f ca="1">AD94</f>
        <v>UD</v>
      </c>
      <c r="BD94" s="1242">
        <f ca="1"/>
        <v>0.31387686353211008</v>
      </c>
      <c r="BE94" s="1243">
        <f ca="1"/>
        <v>0</v>
      </c>
      <c r="BF94" s="1243">
        <f ca="1"/>
        <v>0</v>
      </c>
      <c r="BG94" s="1243">
        <f ca="1"/>
        <v>0</v>
      </c>
      <c r="BH94" s="1243">
        <f ca="1"/>
        <v>0.33592378830835695</v>
      </c>
      <c r="BI94" s="1243">
        <f ca="1"/>
        <v>0.54366951841587341</v>
      </c>
      <c r="BJ94" s="1243">
        <f ca="1"/>
        <v>0</v>
      </c>
      <c r="BK94" s="1243">
        <f ca="1"/>
        <v>0</v>
      </c>
      <c r="BL94" s="1244">
        <f ca="1"/>
        <v>0</v>
      </c>
      <c r="BM94" s="888">
        <f t="shared" ca="1" si="53"/>
        <v>1.1934701702563406</v>
      </c>
      <c r="BN94" s="1487" t="str">
        <f ca="1">IF(MarkCurr=BC94,_xlfn.XLOOKUP(MAX(BD94:BL94),BD94:BL94,BD94:BL94),"")</f>
        <v/>
      </c>
      <c r="BO94" s="1491">
        <f ca="1">MAX(INDEX(BD124:BL132,ROW()-ROW(BO$92),MATCH(RIGHT(MarkCurr,1)&amp;"U",$BD$92:$BL$92,0)))</f>
        <v>0</v>
      </c>
      <c r="BT94" s="1305">
        <f t="shared" ref="BT94:BT101" ca="1" si="55">SUM(BV94:CD94)</f>
        <v>3</v>
      </c>
      <c r="BU94" s="1234" t="str">
        <f ca="1"/>
        <v>UD</v>
      </c>
      <c r="BV94" s="1227" cm="1">
        <f t="array" aca="1" ref="BV94" ca="1">SUM( ($F$7:$F$25=$Q95) * ($F$6:$F$24=BV$92) )</f>
        <v>2</v>
      </c>
      <c r="BW94" s="874" cm="1">
        <f t="array" aca="1" ref="BW94" ca="1">SUM( ($F$7:$F$25=$Q95) * ($F$6:$F$24=BW$92) )</f>
        <v>0</v>
      </c>
      <c r="BX94" s="874" cm="1">
        <f t="array" aca="1" ref="BX94" ca="1">SUM( ($F$7:$F$25=$Q95) * ($F$6:$F$24=BX$92) )</f>
        <v>1</v>
      </c>
      <c r="BY94" s="874" cm="1">
        <f t="array" aca="1" ref="BY94" ca="1">SUM( ($F$7:$F$25=$Q95) * ($F$6:$F$24=BY$92) )</f>
        <v>0</v>
      </c>
      <c r="BZ94" s="874" cm="1">
        <f t="array" aca="1" ref="BZ94" ca="1">SUM( ($F$7:$F$25=$Q95) * ($F$6:$F$24=BZ$92) )</f>
        <v>0</v>
      </c>
      <c r="CA94" s="874" cm="1">
        <f t="array" aca="1" ref="CA94" ca="1">SUM( ($F$7:$F$25=$Q95) * ($F$6:$F$24=CA$92) )</f>
        <v>0</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ca="1">SUM(BV94:CD94)</f>
        <v>3</v>
      </c>
      <c r="CI94" s="1234" t="str">
        <f ca="1"/>
        <v>UD</v>
      </c>
      <c r="CJ94" s="1242">
        <f ca="1">IF(BV94=0,0,BV94/$CH94)</f>
        <v>0.66666666666666663</v>
      </c>
      <c r="CK94" s="1243">
        <f ca="1">IF(BW94=0,0,BW94/$CH94)</f>
        <v>0</v>
      </c>
      <c r="CL94" s="1243">
        <f ca="1">IF(BX94=0,0,BX94/$CH94)</f>
        <v>0.33333333333333331</v>
      </c>
      <c r="CM94" s="1243">
        <f ca="1">IF(BY94=0,0,BY94/$CH94)</f>
        <v>0</v>
      </c>
      <c r="CN94" s="1243">
        <f ca="1">IF(BZ94=0,0,BZ94/$CH94)</f>
        <v>0</v>
      </c>
      <c r="CO94" s="1243">
        <f ca="1">IF(CA94=0,0,CA94/$CH94)</f>
        <v>0</v>
      </c>
      <c r="CP94" s="1243">
        <f ca="1">IF(CB94=0,0,CB94/$CH94)</f>
        <v>0</v>
      </c>
      <c r="CQ94" s="1243">
        <f ca="1">IF(CC94=0,0,CC94/$CH94)</f>
        <v>0</v>
      </c>
      <c r="CR94" s="1244">
        <f ca="1">IF(CD94=0,0,CD94/$CH94)</f>
        <v>0</v>
      </c>
    </row>
    <row r="95" spans="2:96" x14ac:dyDescent="0.3">
      <c r="B95" s="89" vm="354">
        <f ca="1"/>
        <v>45841</v>
      </c>
      <c r="C95" s="89" vm="355">
        <f ca="1"/>
        <v>677.1</v>
      </c>
      <c r="D95" s="1225">
        <f t="shared" ca="1" si="30"/>
        <v>-7.3789846517119243E-4</v>
      </c>
      <c r="E95" s="294" t="str" cm="1">
        <f t="array" aca="1" ref="E95" ca="1">_xlfn.IFS(D95&gt;ZPercent,"U",D95&lt;=-ZPercent,"D",TRUE,"Z")</f>
        <v>Z</v>
      </c>
      <c r="F95" s="294" t="str">
        <f t="shared" ca="1" si="32"/>
        <v>UZ</v>
      </c>
      <c r="G95" s="294" t="str">
        <f t="shared" ca="1" si="33"/>
        <v>DUZ</v>
      </c>
      <c r="H95" s="874" t="str">
        <f t="shared" ca="1" si="34"/>
        <v/>
      </c>
      <c r="J95" s="89" vm="356">
        <f ca="1"/>
        <v>45790</v>
      </c>
      <c r="K95" s="89" vm="357">
        <f ca="1"/>
        <v>683.7</v>
      </c>
      <c r="N95" s="874" t="str">
        <f ca="1">IF(F95=[2]Sheet1!O93,"","dif")</f>
        <v>dif</v>
      </c>
      <c r="Q95" s="1234" t="str">
        <f ca="1"/>
        <v>UD</v>
      </c>
      <c r="R95" s="1227" cm="1">
        <f t="array" aca="1" ref="R95" ca="1">SUM( ($F$7:$F$212=$Q95) * ($F$6:$F$211=R$93) )</f>
        <v>17</v>
      </c>
      <c r="S95" s="874" cm="1">
        <f t="array" aca="1" ref="S95" ca="1">SUM( ($F$7:$F$212=$Q95) * ($F$6:$F$211=S$93) )</f>
        <v>0</v>
      </c>
      <c r="T95" s="874" cm="1">
        <f t="array" aca="1" ref="T95" ca="1">SUM( ($F$7:$F$212=$Q95) * ($F$6:$F$211=T$93) )</f>
        <v>11</v>
      </c>
      <c r="U95" s="874" cm="1">
        <f t="array" aca="1" ref="U95" ca="1">SUM( ($F$7:$F$212=$Q95) * ($F$6:$F$211=U$93) )</f>
        <v>0</v>
      </c>
      <c r="V95" s="874" cm="1">
        <f t="array" aca="1" ref="V95" ca="1">SUM( ($F$7:$F$212=$Q95) * ($F$6:$F$211=V$93) )</f>
        <v>0</v>
      </c>
      <c r="W95" s="874" cm="1">
        <f t="array" aca="1" ref="W95" ca="1">SUM( ($F$7:$F$212=$Q95) * ($F$6:$F$211=W$93) )</f>
        <v>0</v>
      </c>
      <c r="X95" s="874" cm="1">
        <f t="array" aca="1" ref="X95" ca="1">SUM( ($F$7:$F$212=$Q95) * ($F$6:$F$211=X$93) )</f>
        <v>0</v>
      </c>
      <c r="Y95" s="874" cm="1">
        <f t="array" aca="1" ref="Y95" ca="1">SUM( ($F$7:$F$212=$Q95) * ($F$6:$F$211=Y$93) )</f>
        <v>4</v>
      </c>
      <c r="Z95" s="1228" cm="1">
        <f t="array" aca="1" ref="Z95" ca="1">SUM( ($F$7:$F$212=$Q95) * ($F$6:$F$211=Z$93) )</f>
        <v>0</v>
      </c>
      <c r="AB95" s="1208" cm="1">
        <f t="array" aca="1" ref="AB95" ca="1">IFERROR(INDEX($AE95:$AM95,
       MATCH(TRUE,
             (($AD95=Y$87)*
              ($AE$92:$AM$92=$Y$88)*
              ($AE95:$AM95&gt;0))&gt;0,
       0)),0)</f>
        <v>0</v>
      </c>
      <c r="AC95" s="1305">
        <f ca="1">SUM(R96:Z96)</f>
        <v>35</v>
      </c>
      <c r="AD95" s="1234" t="str">
        <f ca="1">Q96</f>
        <v>DU</v>
      </c>
      <c r="AE95" s="1242">
        <f ca="1">IF(R96=0,0,R96/$AC95)</f>
        <v>0</v>
      </c>
      <c r="AF95" s="1243">
        <f ca="1">IF(S96=0,0,S96/$AC95)</f>
        <v>0.45714285714285713</v>
      </c>
      <c r="AG95" s="1243">
        <f ca="1">IF(T96=0,0,T96/$AC95)</f>
        <v>0</v>
      </c>
      <c r="AH95" s="1243">
        <f ca="1">IF(U96=0,0,U96/$AC95)</f>
        <v>0.31428571428571428</v>
      </c>
      <c r="AI95" s="1243">
        <f ca="1">IF(V96=0,0,V96/$AC95)</f>
        <v>0</v>
      </c>
      <c r="AJ95" s="1243">
        <f ca="1">IF(W96=0,0,W96/$AC95)</f>
        <v>0.22857142857142856</v>
      </c>
      <c r="AK95" s="1243">
        <f ca="1">IF(X96=0,0,X96/$AC95)</f>
        <v>0</v>
      </c>
      <c r="AL95" s="1243">
        <f ca="1">IF(Y96=0,0,Y96/$AC95)</f>
        <v>0</v>
      </c>
      <c r="AM95" s="1244">
        <f ca="1">IF(Z96=0,0,Z96/$AC95)</f>
        <v>0</v>
      </c>
      <c r="AP95" s="1497"/>
      <c r="AQ95" s="1249" t="str">
        <f ca="1">Q96</f>
        <v>DU</v>
      </c>
      <c r="AR95" s="1242">
        <f t="shared" ca="1" si="54"/>
        <v>0</v>
      </c>
      <c r="AS95" s="1243">
        <f t="shared" ca="1" si="45"/>
        <v>0.43507990776814814</v>
      </c>
      <c r="AT95" s="1243">
        <f t="shared" ca="1" si="46"/>
        <v>0</v>
      </c>
      <c r="AU95" s="1243">
        <f t="shared" ca="1" si="47"/>
        <v>0.24512934123933017</v>
      </c>
      <c r="AV95" s="1243">
        <f t="shared" ca="1" si="48"/>
        <v>0</v>
      </c>
      <c r="AW95" s="1243">
        <f t="shared" ca="1" si="49"/>
        <v>0.34259954921111946</v>
      </c>
      <c r="AX95" s="1243">
        <f t="shared" ca="1" si="50"/>
        <v>0</v>
      </c>
      <c r="AY95" s="1243">
        <f t="shared" ca="1" si="51"/>
        <v>0</v>
      </c>
      <c r="AZ95" s="1244">
        <f t="shared" ca="1" si="52"/>
        <v>0</v>
      </c>
      <c r="BC95" s="874" t="str">
        <f ca="1">AD95</f>
        <v>DU</v>
      </c>
      <c r="BD95" s="1242">
        <f ca="1"/>
        <v>0</v>
      </c>
      <c r="BE95" s="1243">
        <f ca="1"/>
        <v>0</v>
      </c>
      <c r="BF95" s="1243">
        <f ca="1"/>
        <v>0.36413747024679505</v>
      </c>
      <c r="BG95" s="1243">
        <f ca="1"/>
        <v>0</v>
      </c>
      <c r="BH95" s="1243">
        <f ca="1"/>
        <v>0</v>
      </c>
      <c r="BI95" s="1243">
        <f ca="1"/>
        <v>0</v>
      </c>
      <c r="BJ95" s="1243">
        <f ca="1"/>
        <v>0</v>
      </c>
      <c r="BK95" s="1243">
        <f ca="1"/>
        <v>0.50065129163870725</v>
      </c>
      <c r="BL95" s="1244">
        <f ca="1"/>
        <v>0.30613482443206114</v>
      </c>
      <c r="BM95" s="888">
        <f t="shared" ca="1" si="53"/>
        <v>1.1709235863175635</v>
      </c>
      <c r="BN95" s="1487" t="str">
        <f ca="1">IF(MarkCurr=BC95,_xlfn.XLOOKUP(MAX(BD95:BL95),BD95:BL95,BD95:BL95),"")</f>
        <v/>
      </c>
      <c r="BO95" s="1491">
        <f ca="1">MAX(INDEX(BD125:BL133,ROW()-ROW(BO$92),MATCH(RIGHT(MarkCurr,1)&amp;"U",$BD$92:$BL$92,0)))</f>
        <v>0</v>
      </c>
      <c r="BT95" s="1305">
        <f t="shared" ca="1" si="55"/>
        <v>3</v>
      </c>
      <c r="BU95" s="1234" t="str">
        <f ca="1"/>
        <v>DU</v>
      </c>
      <c r="BV95" s="1227" cm="1">
        <f t="array" aca="1" ref="BV95" ca="1">SUM( ($F$7:$F$25=$Q96) * ($F$6:$F$24=BV$92) )</f>
        <v>0</v>
      </c>
      <c r="BW95" s="874" cm="1">
        <f t="array" aca="1" ref="BW95" ca="1">SUM( ($F$7:$F$25=$Q96) * ($F$6:$F$24=BW$92) )</f>
        <v>1</v>
      </c>
      <c r="BX95" s="874" cm="1">
        <f t="array" aca="1" ref="BX95" ca="1">SUM( ($F$7:$F$25=$Q96) * ($F$6:$F$24=BX$92) )</f>
        <v>0</v>
      </c>
      <c r="BY95" s="874" cm="1">
        <f t="array" aca="1" ref="BY95" ca="1">SUM( ($F$7:$F$25=$Q96) * ($F$6:$F$24=BY$92) )</f>
        <v>1</v>
      </c>
      <c r="BZ95" s="874" cm="1">
        <f t="array" aca="1" ref="BZ95" ca="1">SUM( ($F$7:$F$25=$Q96) * ($F$6:$F$24=BZ$92) )</f>
        <v>0</v>
      </c>
      <c r="CA95" s="874" cm="1">
        <f t="array" aca="1" ref="CA95" ca="1">SUM( ($F$7:$F$25=$Q96) * ($F$6:$F$24=CA$92) )</f>
        <v>1</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ca="1">SUM(BV95:CD95)</f>
        <v>3</v>
      </c>
      <c r="CI95" s="1234" t="str">
        <f ca="1"/>
        <v>DU</v>
      </c>
      <c r="CJ95" s="1242">
        <f ca="1">IF(BV95=0,0,BV95/$CH95)</f>
        <v>0</v>
      </c>
      <c r="CK95" s="1243">
        <f ca="1">IF(BW95=0,0,BW95/$CH95)</f>
        <v>0.33333333333333331</v>
      </c>
      <c r="CL95" s="1243">
        <f ca="1">IF(BX95=0,0,BX95/$CH95)</f>
        <v>0</v>
      </c>
      <c r="CM95" s="1243">
        <f ca="1">IF(BY95=0,0,BY95/$CH95)</f>
        <v>0.33333333333333331</v>
      </c>
      <c r="CN95" s="1243">
        <f ca="1">IF(BZ95=0,0,BZ95/$CH95)</f>
        <v>0</v>
      </c>
      <c r="CO95" s="1243">
        <f ca="1">IF(CA95=0,0,CA95/$CH95)</f>
        <v>0.33333333333333331</v>
      </c>
      <c r="CP95" s="1243">
        <f ca="1">IF(CB95=0,0,CB95/$CH95)</f>
        <v>0</v>
      </c>
      <c r="CQ95" s="1243">
        <f ca="1">IF(CC95=0,0,CC95/$CH95)</f>
        <v>0</v>
      </c>
      <c r="CR95" s="1244">
        <f ca="1">IF(CD95=0,0,CD95/$CH95)</f>
        <v>0</v>
      </c>
    </row>
    <row r="96" spans="2:96" x14ac:dyDescent="0.3">
      <c r="B96" s="89" vm="358">
        <f ca="1"/>
        <v>45840</v>
      </c>
      <c r="C96" s="89" vm="359">
        <f ca="1"/>
        <v>677.6</v>
      </c>
      <c r="D96" s="1225">
        <f t="shared" ca="1" si="30"/>
        <v>1.4067644417838936E-2</v>
      </c>
      <c r="E96" s="294" t="str" cm="1">
        <f t="array" aca="1" ref="E96" ca="1">_xlfn.IFS(D96&gt;ZPercent,"U",D96&lt;=-ZPercent,"D",TRUE,"Z")</f>
        <v>U</v>
      </c>
      <c r="F96" s="294" t="str">
        <f t="shared" ca="1" si="32"/>
        <v>DU</v>
      </c>
      <c r="G96" s="294" t="str">
        <f t="shared" ca="1" si="33"/>
        <v>DDU</v>
      </c>
      <c r="H96" s="874" t="str">
        <f t="shared" ca="1" si="34"/>
        <v/>
      </c>
      <c r="J96" s="89" vm="360">
        <f ca="1"/>
        <v>45791</v>
      </c>
      <c r="K96" s="89" vm="361">
        <f ca="1"/>
        <v>686.6</v>
      </c>
      <c r="N96" s="874" t="str">
        <f ca="1">IF(F96=[2]Sheet1!O94,"","dif")</f>
        <v/>
      </c>
      <c r="Q96" s="1234" t="str">
        <f ca="1"/>
        <v>DU</v>
      </c>
      <c r="R96" s="1227" cm="1">
        <f t="array" aca="1" ref="R96" ca="1">SUM( ($F$7:$F$212=$Q96) * ($F$6:$F$211=R$93) )</f>
        <v>0</v>
      </c>
      <c r="S96" s="874" cm="1">
        <f t="array" aca="1" ref="S96" ca="1">SUM( ($F$7:$F$212=$Q96) * ($F$6:$F$211=S$93) )</f>
        <v>16</v>
      </c>
      <c r="T96" s="874" cm="1">
        <f t="array" aca="1" ref="T96" ca="1">SUM( ($F$7:$F$212=$Q96) * ($F$6:$F$211=T$93) )</f>
        <v>0</v>
      </c>
      <c r="U96" s="874" cm="1">
        <f t="array" aca="1" ref="U96" ca="1">SUM( ($F$7:$F$212=$Q96) * ($F$6:$F$211=U$93) )</f>
        <v>11</v>
      </c>
      <c r="V96" s="874" cm="1">
        <f t="array" aca="1" ref="V96" ca="1">SUM( ($F$7:$F$212=$Q96) * ($F$6:$F$211=V$93) )</f>
        <v>0</v>
      </c>
      <c r="W96" s="874" cm="1">
        <f t="array" aca="1" ref="W96" ca="1">SUM( ($F$7:$F$212=$Q96) * ($F$6:$F$211=W$93) )</f>
        <v>8</v>
      </c>
      <c r="X96" s="874" cm="1">
        <f t="array" aca="1" ref="X96" ca="1">SUM( ($F$7:$F$212=$Q96) * ($F$6:$F$211=X$93) )</f>
        <v>0</v>
      </c>
      <c r="Y96" s="874" cm="1">
        <f t="array" aca="1" ref="Y96" ca="1">SUM( ($F$7:$F$212=$Q96) * ($F$6:$F$211=Y$93) )</f>
        <v>0</v>
      </c>
      <c r="Z96" s="1228" cm="1">
        <f t="array" aca="1" ref="Z96" ca="1">SUM( ($F$7:$F$212=$Q96) * ($F$6:$F$211=Z$93) )</f>
        <v>0</v>
      </c>
      <c r="AB96" s="1208" cm="1">
        <f t="array" aca="1" ref="AB96" ca="1">IFERROR(INDEX($AE96:$AM96,
       MATCH(TRUE,
             (($AD96=Y$87)*
              ($AE$92:$AM$92=$Y$88)*
              ($AE96:$AM96&gt;0))&gt;0,
       0)),0)</f>
        <v>0</v>
      </c>
      <c r="AC96" s="1305">
        <f ca="1">SUM(R97:Z97)</f>
        <v>36</v>
      </c>
      <c r="AD96" s="1234" t="str">
        <f ca="1">Q97</f>
        <v>UU</v>
      </c>
      <c r="AE96" s="1242">
        <f ca="1">IF(R97=0,0,R97/$AC96)</f>
        <v>0</v>
      </c>
      <c r="AF96" s="1243">
        <f ca="1">IF(S97=0,0,S97/$AC96)</f>
        <v>0.27777777777777779</v>
      </c>
      <c r="AG96" s="1243">
        <f ca="1">IF(T97=0,0,T97/$AC96)</f>
        <v>0</v>
      </c>
      <c r="AH96" s="1243">
        <f ca="1">IF(U97=0,0,U97/$AC96)</f>
        <v>0.3888888888888889</v>
      </c>
      <c r="AI96" s="1243">
        <f ca="1">IF(V97=0,0,V97/$AC96)</f>
        <v>0</v>
      </c>
      <c r="AJ96" s="1243">
        <f ca="1">IF(W97=0,0,W97/$AC96)</f>
        <v>0.33333333333333331</v>
      </c>
      <c r="AK96" s="1243">
        <f ca="1">IF(X97=0,0,X97/$AC96)</f>
        <v>0</v>
      </c>
      <c r="AL96" s="1243">
        <f ca="1">IF(Y97=0,0,Y97/$AC96)</f>
        <v>0</v>
      </c>
      <c r="AM96" s="1244">
        <f ca="1">IF(Z97=0,0,Z97/$AC96)</f>
        <v>0</v>
      </c>
      <c r="AP96" s="1497"/>
      <c r="AQ96" s="1249" t="str">
        <f ca="1">Q97</f>
        <v>UU</v>
      </c>
      <c r="AR96" s="1242">
        <f t="shared" ca="1" si="54"/>
        <v>0</v>
      </c>
      <c r="AS96" s="1243">
        <f t="shared" ca="1" si="45"/>
        <v>0.26437147173411779</v>
      </c>
      <c r="AT96" s="1243">
        <f t="shared" ca="1" si="46"/>
        <v>0</v>
      </c>
      <c r="AU96" s="1243">
        <f t="shared" ca="1" si="47"/>
        <v>0.30331660910927216</v>
      </c>
      <c r="AV96" s="1243">
        <f t="shared" ca="1" si="48"/>
        <v>0</v>
      </c>
      <c r="AW96" s="1243">
        <f t="shared" ca="1" si="49"/>
        <v>0.49962434259954919</v>
      </c>
      <c r="AX96" s="1243">
        <f t="shared" ca="1" si="50"/>
        <v>0</v>
      </c>
      <c r="AY96" s="1243">
        <f t="shared" ca="1" si="51"/>
        <v>0</v>
      </c>
      <c r="AZ96" s="1244">
        <f t="shared" ca="1" si="52"/>
        <v>0</v>
      </c>
      <c r="BC96" s="874" t="str">
        <f ca="1">AD96</f>
        <v>UU</v>
      </c>
      <c r="BD96" s="1242">
        <f ca="1"/>
        <v>0</v>
      </c>
      <c r="BE96" s="1243">
        <f ca="1"/>
        <v>0</v>
      </c>
      <c r="BF96" s="1243">
        <f ca="1"/>
        <v>0.54517267298617778</v>
      </c>
      <c r="BG96" s="1243">
        <f ca="1"/>
        <v>0</v>
      </c>
      <c r="BH96" s="1243">
        <f ca="1"/>
        <v>0</v>
      </c>
      <c r="BI96" s="1243">
        <f ca="1"/>
        <v>0</v>
      </c>
      <c r="BJ96" s="1243">
        <f ca="1"/>
        <v>0</v>
      </c>
      <c r="BK96" s="1243">
        <f ca="1"/>
        <v>0.31231497396627639</v>
      </c>
      <c r="BL96" s="1244">
        <f ca="1"/>
        <v>0.3888888888888889</v>
      </c>
      <c r="BM96" s="888">
        <f t="shared" ca="1" si="53"/>
        <v>1.246376535841343</v>
      </c>
      <c r="BN96" s="1487" t="str">
        <f ca="1">IF(MarkCurr=BC96,_xlfn.XLOOKUP(MAX(BD96:BL96),BD96:BL96,BD96:BL96),"")</f>
        <v/>
      </c>
      <c r="BO96" s="1491">
        <f ca="1">MAX(INDEX(BD126:BL134,ROW()-ROW(BO$92),MATCH(RIGHT(MarkCurr,1)&amp;"U",$BD$92:$BL$92,0)))</f>
        <v>0</v>
      </c>
      <c r="BT96" s="1305">
        <f t="shared" ca="1" si="55"/>
        <v>4</v>
      </c>
      <c r="BU96" s="1234" t="str">
        <f ca="1"/>
        <v>UU</v>
      </c>
      <c r="BV96" s="1227" cm="1">
        <f t="array" aca="1" ref="BV96" ca="1">SUM( ($F$7:$F$25=$Q97) * ($F$6:$F$24=BV$92) )</f>
        <v>0</v>
      </c>
      <c r="BW96" s="874" cm="1">
        <f t="array" aca="1" ref="BW96" ca="1">SUM( ($F$7:$F$25=$Q97) * ($F$6:$F$24=BW$92) )</f>
        <v>1</v>
      </c>
      <c r="BX96" s="874" cm="1">
        <f t="array" aca="1" ref="BX96" ca="1">SUM( ($F$7:$F$25=$Q97) * ($F$6:$F$24=BX$92) )</f>
        <v>0</v>
      </c>
      <c r="BY96" s="874" cm="1">
        <f t="array" aca="1" ref="BY96" ca="1">SUM( ($F$7:$F$25=$Q97) * ($F$6:$F$24=BY$92) )</f>
        <v>1</v>
      </c>
      <c r="BZ96" s="874" cm="1">
        <f t="array" aca="1" ref="BZ96" ca="1">SUM( ($F$7:$F$25=$Q97) * ($F$6:$F$24=BZ$92) )</f>
        <v>0</v>
      </c>
      <c r="CA96" s="874" cm="1">
        <f t="array" aca="1" ref="CA96" ca="1">SUM( ($F$7:$F$25=$Q97) * ($F$6:$F$24=CA$92) )</f>
        <v>2</v>
      </c>
      <c r="CB96" s="874" cm="1">
        <f t="array" aca="1" ref="CB96" ca="1">SUM( ($F$7:$F$25=$Q97) * ($F$6:$F$24=CB$92) )</f>
        <v>0</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ca="1">SUM(BV96:CD96)</f>
        <v>4</v>
      </c>
      <c r="CI96" s="1234" t="str">
        <f ca="1"/>
        <v>UU</v>
      </c>
      <c r="CJ96" s="1242">
        <f ca="1">IF(BV96=0,0,BV96/$CH96)</f>
        <v>0</v>
      </c>
      <c r="CK96" s="1243">
        <f ca="1">IF(BW96=0,0,BW96/$CH96)</f>
        <v>0.25</v>
      </c>
      <c r="CL96" s="1243">
        <f ca="1">IF(BX96=0,0,BX96/$CH96)</f>
        <v>0</v>
      </c>
      <c r="CM96" s="1243">
        <f ca="1">IF(BY96=0,0,BY96/$CH96)</f>
        <v>0.25</v>
      </c>
      <c r="CN96" s="1243">
        <f ca="1">IF(BZ96=0,0,BZ96/$CH96)</f>
        <v>0</v>
      </c>
      <c r="CO96" s="1243">
        <f ca="1">IF(CA96=0,0,CA96/$CH96)</f>
        <v>0.5</v>
      </c>
      <c r="CP96" s="1243">
        <f ca="1">IF(CB96=0,0,CB96/$CH96)</f>
        <v>0</v>
      </c>
      <c r="CQ96" s="1243">
        <f ca="1">IF(CC96=0,0,CC96/$CH96)</f>
        <v>0</v>
      </c>
      <c r="CR96" s="1244">
        <f ca="1">IF(CD96=0,0,CD96/$CH96)</f>
        <v>0</v>
      </c>
    </row>
    <row r="97" spans="2:98" x14ac:dyDescent="0.3">
      <c r="B97" s="89" vm="362">
        <f ca="1"/>
        <v>45839</v>
      </c>
      <c r="C97" s="89" vm="363">
        <f ca="1"/>
        <v>668.2</v>
      </c>
      <c r="D97" s="1225">
        <f t="shared" ca="1" si="30"/>
        <v>-1.3872491145218383E-2</v>
      </c>
      <c r="E97" s="294" t="str" cm="1">
        <f t="array" aca="1" ref="E97" ca="1">_xlfn.IFS(D97&gt;ZPercent,"U",D97&lt;=-ZPercent,"D",TRUE,"Z")</f>
        <v>D</v>
      </c>
      <c r="F97" s="294" t="str">
        <f t="shared" ca="1" si="32"/>
        <v>DD</v>
      </c>
      <c r="G97" s="294" t="str">
        <f t="shared" ca="1" si="33"/>
        <v>UDD</v>
      </c>
      <c r="H97" s="874" t="str">
        <f t="shared" ca="1" si="34"/>
        <v/>
      </c>
      <c r="J97" s="89" vm="364">
        <f ca="1"/>
        <v>45792</v>
      </c>
      <c r="K97" s="89" vm="365">
        <f ca="1"/>
        <v>682.2</v>
      </c>
      <c r="N97" s="874" t="str">
        <f ca="1">IF(F97=[2]Sheet1!O95,"","dif")</f>
        <v/>
      </c>
      <c r="Q97" s="1234" t="str">
        <f ca="1"/>
        <v>UU</v>
      </c>
      <c r="R97" s="1227" cm="1">
        <f t="array" aca="1" ref="R97" ca="1">SUM( ($F$7:$F$212=$Q97) * ($F$6:$F$211=R$93) )</f>
        <v>0</v>
      </c>
      <c r="S97" s="874" cm="1">
        <f t="array" aca="1" ref="S97" ca="1">SUM( ($F$7:$F$212=$Q97) * ($F$6:$F$211=S$93) )</f>
        <v>10</v>
      </c>
      <c r="T97" s="874" cm="1">
        <f t="array" aca="1" ref="T97" ca="1">SUM( ($F$7:$F$212=$Q97) * ($F$6:$F$211=T$93) )</f>
        <v>0</v>
      </c>
      <c r="U97" s="874" cm="1">
        <f t="array" aca="1" ref="U97" ca="1">SUM( ($F$7:$F$212=$Q97) * ($F$6:$F$211=U$93) )</f>
        <v>14</v>
      </c>
      <c r="V97" s="874" cm="1">
        <f t="array" aca="1" ref="V97" ca="1">SUM( ($F$7:$F$212=$Q97) * ($F$6:$F$211=V$93) )</f>
        <v>0</v>
      </c>
      <c r="W97" s="874" cm="1">
        <f t="array" aca="1" ref="W97" ca="1">SUM( ($F$7:$F$212=$Q97) * ($F$6:$F$211=W$93) )</f>
        <v>12</v>
      </c>
      <c r="X97" s="874" cm="1">
        <f t="array" aca="1" ref="X97" ca="1">SUM( ($F$7:$F$212=$Q97) * ($F$6:$F$211=X$93) )</f>
        <v>0</v>
      </c>
      <c r="Y97" s="874" cm="1">
        <f t="array" aca="1" ref="Y97" ca="1">SUM( ($F$7:$F$212=$Q97) * ($F$6:$F$211=Y$93) )</f>
        <v>0</v>
      </c>
      <c r="Z97" s="1228" cm="1">
        <f t="array" aca="1" ref="Z97" ca="1">SUM( ($F$7:$F$212=$Q97) * ($F$6:$F$211=Z$93) )</f>
        <v>0</v>
      </c>
      <c r="AB97" s="1208" cm="1">
        <f t="array" aca="1" ref="AB97" ca="1">IFERROR(INDEX($AE97:$AM97,
       MATCH(TRUE,
             (($AD97=Y$87)*
              ($AE$92:$AM$92=$Y$88)*
              ($AE97:$AM97&gt;0))&gt;0,
       0)),0)</f>
        <v>0</v>
      </c>
      <c r="AC97" s="1305">
        <f ca="1">SUM(R98:Z98)</f>
        <v>19</v>
      </c>
      <c r="AD97" s="1234" t="str">
        <f ca="1">Q98</f>
        <v>ZU</v>
      </c>
      <c r="AE97" s="1242">
        <f ca="1">IF(R98=0,0,R98/$AC97)</f>
        <v>0</v>
      </c>
      <c r="AF97" s="1243">
        <f ca="1">IF(S98=0,0,S98/$AC97)</f>
        <v>0.31578947368421051</v>
      </c>
      <c r="AG97" s="1243">
        <f ca="1">IF(T98=0,0,T98/$AC97)</f>
        <v>0</v>
      </c>
      <c r="AH97" s="1243">
        <f ca="1">IF(U98=0,0,U98/$AC97)</f>
        <v>0.57894736842105265</v>
      </c>
      <c r="AI97" s="1243">
        <f ca="1">IF(V98=0,0,V98/$AC97)</f>
        <v>0</v>
      </c>
      <c r="AJ97" s="1243">
        <f ca="1">IF(W98=0,0,W98/$AC97)</f>
        <v>0.10526315789473684</v>
      </c>
      <c r="AK97" s="1243">
        <f ca="1">IF(X98=0,0,X98/$AC97)</f>
        <v>0</v>
      </c>
      <c r="AL97" s="1243">
        <f ca="1">IF(Y98=0,0,Y98/$AC97)</f>
        <v>0</v>
      </c>
      <c r="AM97" s="1244">
        <f ca="1">IF(Z98=0,0,Z98/$AC97)</f>
        <v>0</v>
      </c>
      <c r="AP97" s="1497"/>
      <c r="AQ97" s="1249" t="str">
        <f ca="1">Q98</f>
        <v>ZU</v>
      </c>
      <c r="AR97" s="1242">
        <f t="shared" ca="1" si="54"/>
        <v>0</v>
      </c>
      <c r="AS97" s="1243">
        <f t="shared" ca="1" si="45"/>
        <v>0.3005486204977339</v>
      </c>
      <c r="AT97" s="1243">
        <f t="shared" ca="1" si="46"/>
        <v>0</v>
      </c>
      <c r="AU97" s="1243">
        <f t="shared" ca="1" si="47"/>
        <v>0.45155404965139767</v>
      </c>
      <c r="AV97" s="1243">
        <f t="shared" ca="1" si="48"/>
        <v>0</v>
      </c>
      <c r="AW97" s="1243">
        <f t="shared" ca="1" si="49"/>
        <v>0.15777610818933133</v>
      </c>
      <c r="AX97" s="1243">
        <f t="shared" ca="1" si="50"/>
        <v>0</v>
      </c>
      <c r="AY97" s="1243">
        <f t="shared" ca="1" si="51"/>
        <v>0</v>
      </c>
      <c r="AZ97" s="1244">
        <f t="shared" ca="1" si="52"/>
        <v>0</v>
      </c>
      <c r="BC97" s="874" t="str">
        <f ca="1">AD97</f>
        <v>ZU</v>
      </c>
      <c r="BD97" s="1242">
        <f ca="1"/>
        <v>0</v>
      </c>
      <c r="BE97" s="1243">
        <f ca="1"/>
        <v>0</v>
      </c>
      <c r="BF97" s="1243">
        <f ca="1"/>
        <v>9.0689856767027191E-2</v>
      </c>
      <c r="BG97" s="1243">
        <f ca="1"/>
        <v>0</v>
      </c>
      <c r="BH97" s="1243">
        <f ca="1"/>
        <v>0</v>
      </c>
      <c r="BI97" s="1243">
        <f ca="1"/>
        <v>0</v>
      </c>
      <c r="BJ97" s="1243">
        <f ca="1"/>
        <v>0</v>
      </c>
      <c r="BK97" s="1243">
        <f ca="1"/>
        <v>0.18703373439501647</v>
      </c>
      <c r="BL97" s="1244">
        <f ca="1"/>
        <v>0.30497628667904991</v>
      </c>
      <c r="BM97" s="888">
        <f t="shared" ca="1" si="53"/>
        <v>0.58269987784109356</v>
      </c>
      <c r="BN97" s="1487" t="str">
        <f ca="1">IF(MarkCurr=BC97,_xlfn.XLOOKUP(MAX(BD97:BL97),BD97:BL97,BD97:BL97),"")</f>
        <v/>
      </c>
      <c r="BO97" s="1491">
        <f ca="1">MAX(INDEX(BD127:BL135,ROW()-ROW(BO$92),MATCH(RIGHT(MarkCurr,1)&amp;"U",$BD$92:$BL$92,0)))</f>
        <v>0</v>
      </c>
      <c r="BT97" s="1305">
        <f t="shared" ca="1" si="55"/>
        <v>3</v>
      </c>
      <c r="BU97" s="1234" t="str">
        <f ca="1"/>
        <v>ZU</v>
      </c>
      <c r="BV97" s="1227" cm="1">
        <f t="array" aca="1" ref="BV97" ca="1">SUM( ($F$7:$F$25=$Q98) * ($F$6:$F$24=BV$92) )</f>
        <v>0</v>
      </c>
      <c r="BW97" s="874" cm="1">
        <f t="array" aca="1" ref="BW97" ca="1">SUM( ($F$7:$F$25=$Q98) * ($F$6:$F$24=BW$92) )</f>
        <v>1</v>
      </c>
      <c r="BX97" s="874" cm="1">
        <f t="array" aca="1" ref="BX97" ca="1">SUM( ($F$7:$F$25=$Q98) * ($F$6:$F$24=BX$92) )</f>
        <v>0</v>
      </c>
      <c r="BY97" s="874" cm="1">
        <f t="array" aca="1" ref="BY97" ca="1">SUM( ($F$7:$F$25=$Q98) * ($F$6:$F$24=BY$92) )</f>
        <v>2</v>
      </c>
      <c r="BZ97" s="874" cm="1">
        <f t="array" aca="1" ref="BZ97" ca="1">SUM( ($F$7:$F$25=$Q98) * ($F$6:$F$24=BZ$92) )</f>
        <v>0</v>
      </c>
      <c r="CA97" s="874" cm="1">
        <f t="array" aca="1" ref="CA97" ca="1">SUM( ($F$7:$F$25=$Q98) * ($F$6:$F$24=CA$92) )</f>
        <v>0</v>
      </c>
      <c r="CB97" s="874" cm="1">
        <f t="array" aca="1" ref="CB97" ca="1">SUM( ($F$7:$F$25=$Q98) * ($F$6:$F$24=CB$92) )</f>
        <v>0</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ca="1">SUM(BV97:CD97)</f>
        <v>3</v>
      </c>
      <c r="CI97" s="1234" t="str">
        <f ca="1"/>
        <v>ZU</v>
      </c>
      <c r="CJ97" s="1242">
        <f ca="1">IF(BV97=0,0,BV97/$CH97)</f>
        <v>0</v>
      </c>
      <c r="CK97" s="1243">
        <f ca="1">IF(BW97=0,0,BW97/$CH97)</f>
        <v>0.33333333333333331</v>
      </c>
      <c r="CL97" s="1243">
        <f ca="1">IF(BX97=0,0,BX97/$CH97)</f>
        <v>0</v>
      </c>
      <c r="CM97" s="1243">
        <f ca="1">IF(BY97=0,0,BY97/$CH97)</f>
        <v>0.66666666666666663</v>
      </c>
      <c r="CN97" s="1243">
        <f ca="1">IF(BZ97=0,0,BZ97/$CH97)</f>
        <v>0</v>
      </c>
      <c r="CO97" s="1243">
        <f ca="1">IF(CA97=0,0,CA97/$CH97)</f>
        <v>0</v>
      </c>
      <c r="CP97" s="1243">
        <f ca="1">IF(CB97=0,0,CB97/$CH97)</f>
        <v>0</v>
      </c>
      <c r="CQ97" s="1243">
        <f ca="1">IF(CC97=0,0,CC97/$CH97)</f>
        <v>0</v>
      </c>
      <c r="CR97" s="1244">
        <f ca="1">IF(CD97=0,0,CD97/$CH97)</f>
        <v>0</v>
      </c>
    </row>
    <row r="98" spans="2:98" x14ac:dyDescent="0.3">
      <c r="B98" s="89" vm="366">
        <f ca="1"/>
        <v>45838</v>
      </c>
      <c r="C98" s="89" vm="359">
        <f ca="1"/>
        <v>677.6</v>
      </c>
      <c r="D98" s="1225">
        <f t="shared" ca="1" si="30"/>
        <v>-7.1794871794871465E-3</v>
      </c>
      <c r="E98" s="294" t="str" cm="1">
        <f t="array" aca="1" ref="E98" ca="1">_xlfn.IFS(D98&gt;ZPercent,"U",D98&lt;=-ZPercent,"D",TRUE,"Z")</f>
        <v>D</v>
      </c>
      <c r="F98" s="294" t="str">
        <f t="shared" ca="1" si="32"/>
        <v>UD</v>
      </c>
      <c r="G98" s="294" t="str">
        <f t="shared" ca="1" si="33"/>
        <v>DUD</v>
      </c>
      <c r="H98" s="874" t="str">
        <f t="shared" ca="1" si="34"/>
        <v/>
      </c>
      <c r="J98" s="89" vm="367">
        <f ca="1"/>
        <v>45793</v>
      </c>
      <c r="K98" s="89" vm="368">
        <f ca="1"/>
        <v>668.4</v>
      </c>
      <c r="N98" s="874" t="str">
        <f ca="1">IF(F98=[2]Sheet1!O96,"","dif")</f>
        <v>dif</v>
      </c>
      <c r="Q98" s="1234" t="str">
        <f ca="1"/>
        <v>ZU</v>
      </c>
      <c r="R98" s="1227" cm="1">
        <f t="array" aca="1" ref="R98" ca="1">SUM( ($F$7:$F$212=$Q98) * ($F$6:$F$211=R$93) )</f>
        <v>0</v>
      </c>
      <c r="S98" s="874" cm="1">
        <f t="array" aca="1" ref="S98" ca="1">SUM( ($F$7:$F$212=$Q98) * ($F$6:$F$211=S$93) )</f>
        <v>6</v>
      </c>
      <c r="T98" s="874" cm="1">
        <f t="array" aca="1" ref="T98" ca="1">SUM( ($F$7:$F$212=$Q98) * ($F$6:$F$211=T$93) )</f>
        <v>0</v>
      </c>
      <c r="U98" s="874" cm="1">
        <f t="array" aca="1" ref="U98" ca="1">SUM( ($F$7:$F$212=$Q98) * ($F$6:$F$211=U$93) )</f>
        <v>11</v>
      </c>
      <c r="V98" s="874" cm="1">
        <f t="array" aca="1" ref="V98" ca="1">SUM( ($F$7:$F$212=$Q98) * ($F$6:$F$211=V$93) )</f>
        <v>0</v>
      </c>
      <c r="W98" s="874" cm="1">
        <f t="array" aca="1" ref="W98" ca="1">SUM( ($F$7:$F$212=$Q98) * ($F$6:$F$211=W$93) )</f>
        <v>2</v>
      </c>
      <c r="X98" s="874" cm="1">
        <f t="array" aca="1" ref="X98" ca="1">SUM( ($F$7:$F$212=$Q98) * ($F$6:$F$211=X$93) )</f>
        <v>0</v>
      </c>
      <c r="Y98" s="874" cm="1">
        <f t="array" aca="1" ref="Y98" ca="1">SUM( ($F$7:$F$212=$Q98) * ($F$6:$F$211=Y$93) )</f>
        <v>0</v>
      </c>
      <c r="Z98" s="1228" cm="1">
        <f t="array" aca="1" ref="Z98" ca="1">SUM( ($F$7:$F$212=$Q98) * ($F$6:$F$211=Z$93) )</f>
        <v>0</v>
      </c>
      <c r="AB98" s="1208" cm="1">
        <f t="array" aca="1" ref="AB98" ca="1">IFERROR(INDEX($AE98:$AM98,
       MATCH(TRUE,
             (($AD98=Y$87)*
              ($AE$92:$AM$92=$Y$88)*
              ($AE98:$AM98&gt;0))&gt;0,
       0)),0)</f>
        <v>0</v>
      </c>
      <c r="AC98" s="1305">
        <f ca="1">SUM(R99:Z99)</f>
        <v>22</v>
      </c>
      <c r="AD98" s="1234" t="str">
        <f ca="1">Q99</f>
        <v>UZ</v>
      </c>
      <c r="AE98" s="1242">
        <f ca="1">IF(R99=0,0,R99/$AC98)</f>
        <v>0</v>
      </c>
      <c r="AF98" s="1243">
        <f ca="1">IF(S99=0,0,S99/$AC98)</f>
        <v>0</v>
      </c>
      <c r="AG98" s="1243">
        <f ca="1">IF(T99=0,0,T99/$AC98)</f>
        <v>0</v>
      </c>
      <c r="AH98" s="1243">
        <f ca="1">IF(U99=0,0,U99/$AC98)</f>
        <v>0</v>
      </c>
      <c r="AI98" s="1243">
        <f ca="1">IF(V99=0,0,V99/$AC98)</f>
        <v>0.59090909090909094</v>
      </c>
      <c r="AJ98" s="1243">
        <f ca="1">IF(W99=0,0,W99/$AC98)</f>
        <v>0</v>
      </c>
      <c r="AK98" s="1243">
        <f ca="1">IF(X99=0,0,X99/$AC98)</f>
        <v>0.40909090909090912</v>
      </c>
      <c r="AL98" s="1243">
        <f ca="1">IF(Y99=0,0,Y99/$AC98)</f>
        <v>0</v>
      </c>
      <c r="AM98" s="1244">
        <f ca="1">IF(Z99=0,0,Z99/$AC98)</f>
        <v>0</v>
      </c>
      <c r="AP98" s="1497"/>
      <c r="AQ98" s="1249" t="str">
        <f ca="1">Q99</f>
        <v>UZ</v>
      </c>
      <c r="AR98" s="1242">
        <f t="shared" ca="1" si="54"/>
        <v>0</v>
      </c>
      <c r="AS98" s="1243">
        <f t="shared" ca="1" si="45"/>
        <v>0</v>
      </c>
      <c r="AT98" s="1243">
        <f t="shared" ca="1" si="46"/>
        <v>0</v>
      </c>
      <c r="AU98" s="1243">
        <f t="shared" ca="1" si="47"/>
        <v>0</v>
      </c>
      <c r="AV98" s="1243">
        <f t="shared" ca="1" si="48"/>
        <v>0.37142857142857144</v>
      </c>
      <c r="AW98" s="1243">
        <f t="shared" ca="1" si="49"/>
        <v>0</v>
      </c>
      <c r="AX98" s="1243">
        <f t="shared" ca="1" si="50"/>
        <v>0.35294117647058826</v>
      </c>
      <c r="AY98" s="1243">
        <f t="shared" ca="1" si="51"/>
        <v>0</v>
      </c>
      <c r="AZ98" s="1244">
        <f t="shared" ca="1" si="52"/>
        <v>0</v>
      </c>
      <c r="BC98" s="874" t="str">
        <f ca="1">AD98</f>
        <v>UZ</v>
      </c>
      <c r="BD98" s="1242">
        <f ca="1"/>
        <v>0</v>
      </c>
      <c r="BE98" s="1243">
        <f ca="1"/>
        <v>0.60183841315916797</v>
      </c>
      <c r="BF98" s="1243">
        <f ca="1"/>
        <v>0</v>
      </c>
      <c r="BG98" s="1243">
        <f ca="1"/>
        <v>0.68586454048093648</v>
      </c>
      <c r="BH98" s="1243">
        <f ca="1"/>
        <v>0</v>
      </c>
      <c r="BI98" s="1243">
        <f ca="1"/>
        <v>0</v>
      </c>
      <c r="BJ98" s="1243">
        <f ca="1"/>
        <v>0</v>
      </c>
      <c r="BK98" s="1243">
        <f ca="1"/>
        <v>0</v>
      </c>
      <c r="BL98" s="1244">
        <f ca="1"/>
        <v>0</v>
      </c>
      <c r="BM98" s="888">
        <f t="shared" ca="1" si="53"/>
        <v>1.2877029536401046</v>
      </c>
      <c r="BN98" s="1487" t="str">
        <f ca="1">IF(MarkCurr=BC98,_xlfn.XLOOKUP(MAX(BD98:BL98),BD98:BL98,BD98:BL98),"")</f>
        <v/>
      </c>
      <c r="BO98" s="1491">
        <f ca="1">MAX(INDEX(BD128:BL136,ROW()-ROW(BO$92),MATCH(RIGHT(MarkCurr,1)&amp;"U",$BD$92:$BL$92,0)))</f>
        <v>0</v>
      </c>
      <c r="BT98" s="1305">
        <f t="shared" ca="1" si="55"/>
        <v>3</v>
      </c>
      <c r="BU98" s="1234" t="str">
        <f ca="1"/>
        <v>UZ</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0</v>
      </c>
      <c r="BZ98" s="874" cm="1">
        <f t="array" aca="1" ref="BZ98" ca="1">SUM( ($F$7:$F$25=$Q99) * ($F$6:$F$24=BZ$92) )</f>
        <v>3</v>
      </c>
      <c r="CA98" s="874" cm="1">
        <f t="array" aca="1" ref="CA98" ca="1">SUM( ($F$7:$F$25=$Q99) * ($F$6:$F$24=CA$92) )</f>
        <v>0</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ca="1">SUM(BV98:CD98)</f>
        <v>3</v>
      </c>
      <c r="CI98" s="1234" t="str">
        <f ca="1"/>
        <v>UZ</v>
      </c>
      <c r="CJ98" s="1242">
        <f ca="1">IF(BV98=0,0,BV98/$CH98)</f>
        <v>0</v>
      </c>
      <c r="CK98" s="1243">
        <f ca="1">IF(BW98=0,0,BW98/$CH98)</f>
        <v>0</v>
      </c>
      <c r="CL98" s="1243">
        <f ca="1">IF(BX98=0,0,BX98/$CH98)</f>
        <v>0</v>
      </c>
      <c r="CM98" s="1243">
        <f ca="1">IF(BY98=0,0,BY98/$CH98)</f>
        <v>0</v>
      </c>
      <c r="CN98" s="1243">
        <f ca="1">IF(BZ98=0,0,BZ98/$CH98)</f>
        <v>1</v>
      </c>
      <c r="CO98" s="1243">
        <f ca="1">IF(CA98=0,0,CA98/$CH98)</f>
        <v>0</v>
      </c>
      <c r="CP98" s="1243">
        <f ca="1">IF(CB98=0,0,CB98/$CH98)</f>
        <v>0</v>
      </c>
      <c r="CQ98" s="1243">
        <f ca="1">IF(CC98=0,0,CC98/$CH98)</f>
        <v>0</v>
      </c>
      <c r="CR98" s="1244">
        <f ca="1">IF(CD98=0,0,CD98/$CH98)</f>
        <v>0</v>
      </c>
    </row>
    <row r="99" spans="2:98" x14ac:dyDescent="0.3">
      <c r="B99" s="89" vm="369">
        <f ca="1"/>
        <v>45835</v>
      </c>
      <c r="C99" s="89" vm="79">
        <f ca="1"/>
        <v>682.5</v>
      </c>
      <c r="D99" s="1225">
        <f t="shared" ca="1" si="30"/>
        <v>7.5287865367582273E-3</v>
      </c>
      <c r="E99" s="294" t="str" cm="1">
        <f t="array" aca="1" ref="E99" ca="1">_xlfn.IFS(D99&gt;ZPercent,"U",D99&lt;=-ZPercent,"D",TRUE,"Z")</f>
        <v>U</v>
      </c>
      <c r="F99" s="294" t="str">
        <f t="shared" ca="1" si="32"/>
        <v>DU</v>
      </c>
      <c r="G99" s="294" t="str">
        <f t="shared" ca="1" si="33"/>
        <v>ZDU</v>
      </c>
      <c r="H99" s="874" t="str">
        <f t="shared" ca="1" si="34"/>
        <v/>
      </c>
      <c r="J99" s="89" vm="370">
        <f ca="1"/>
        <v>45796</v>
      </c>
      <c r="K99" s="89" vm="371">
        <f ca="1"/>
        <v>662.4</v>
      </c>
      <c r="N99" s="874" t="str">
        <f ca="1">IF(F99=[2]Sheet1!O97,"","dif")</f>
        <v>dif</v>
      </c>
      <c r="Q99" s="1234" t="str">
        <f ca="1"/>
        <v>UZ</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0</v>
      </c>
      <c r="V99" s="874" cm="1">
        <f t="array" aca="1" ref="V99" ca="1">SUM( ($F$7:$F$212=$Q99) * ($F$6:$F$211=V$93) )</f>
        <v>13</v>
      </c>
      <c r="W99" s="874" cm="1">
        <f t="array" aca="1" ref="W99" ca="1">SUM( ($F$7:$F$212=$Q99) * ($F$6:$F$211=W$93) )</f>
        <v>0</v>
      </c>
      <c r="X99" s="874" cm="1">
        <f t="array" aca="1" ref="X99" ca="1">SUM( ($F$7:$F$212=$Q99) * ($F$6:$F$211=X$93) )</f>
        <v>9</v>
      </c>
      <c r="Y99" s="874" cm="1">
        <f t="array" aca="1" ref="Y99" ca="1">SUM( ($F$7:$F$212=$Q99) * ($F$6:$F$211=Y$93) )</f>
        <v>0</v>
      </c>
      <c r="Z99" s="1228" cm="1">
        <f t="array" aca="1" ref="Z99" ca="1">SUM( ($F$7:$F$212=$Q99) * ($F$6:$F$211=Z$93) )</f>
        <v>0</v>
      </c>
      <c r="AB99" s="1208" cm="1">
        <f t="array" aca="1" ref="AB99" ca="1">IFERROR(INDEX($AE99:$AM99,
       MATCH(TRUE,
             (($AD99=Y$87)*
              ($AE$92:$AM$92=$Y$88)*
              ($AE99:$AM99&gt;0))&gt;0,
       0)),0)</f>
        <v>0</v>
      </c>
      <c r="AC99" s="1305">
        <f ca="1">SUM(R100:Z100)</f>
        <v>16</v>
      </c>
      <c r="AD99" s="1234" t="str">
        <f ca="1">Q100</f>
        <v>ZD</v>
      </c>
      <c r="AE99" s="1242">
        <f ca="1">IF(R100=0,0,R100/$AC99)</f>
        <v>0.1875</v>
      </c>
      <c r="AF99" s="1243">
        <f ca="1">IF(S100=0,0,S100/$AC99)</f>
        <v>0</v>
      </c>
      <c r="AG99" s="1243">
        <f ca="1">IF(T100=0,0,T100/$AC99)</f>
        <v>0.5625</v>
      </c>
      <c r="AH99" s="1243">
        <f ca="1">IF(U100=0,0,U100/$AC99)</f>
        <v>0</v>
      </c>
      <c r="AI99" s="1243">
        <f ca="1">IF(V100=0,0,V100/$AC99)</f>
        <v>0</v>
      </c>
      <c r="AJ99" s="1243">
        <f ca="1">IF(W100=0,0,W100/$AC99)</f>
        <v>0</v>
      </c>
      <c r="AK99" s="1243">
        <f ca="1">IF(X100=0,0,X100/$AC99)</f>
        <v>0</v>
      </c>
      <c r="AL99" s="1243">
        <f ca="1">IF(Y100=0,0,Y100/$AC99)</f>
        <v>0.25</v>
      </c>
      <c r="AM99" s="1244">
        <f ca="1">IF(Z100=0,0,Z100/$AC99)</f>
        <v>0</v>
      </c>
      <c r="AP99" s="1497"/>
      <c r="AQ99" s="1249" t="str">
        <f ca="1">Q100</f>
        <v>ZD</v>
      </c>
      <c r="AR99" s="1242">
        <f t="shared" ca="1" si="54"/>
        <v>0.17274472168905949</v>
      </c>
      <c r="AS99" s="1243">
        <f t="shared" ca="1" si="45"/>
        <v>0</v>
      </c>
      <c r="AT99" s="1243">
        <f t="shared" ca="1" si="46"/>
        <v>0.4</v>
      </c>
      <c r="AU99" s="1243">
        <f t="shared" ca="1" si="47"/>
        <v>0</v>
      </c>
      <c r="AV99" s="1243">
        <f t="shared" ca="1" si="48"/>
        <v>0</v>
      </c>
      <c r="AW99" s="1243">
        <f t="shared" ca="1" si="49"/>
        <v>0</v>
      </c>
      <c r="AX99" s="1243">
        <f t="shared" ca="1" si="50"/>
        <v>0</v>
      </c>
      <c r="AY99" s="1243">
        <f t="shared" ca="1" si="51"/>
        <v>0.49180327868852464</v>
      </c>
      <c r="AZ99" s="1244">
        <f t="shared" ca="1" si="52"/>
        <v>0</v>
      </c>
      <c r="BC99" s="874" t="str">
        <f ca="1">AD99</f>
        <v>ZD</v>
      </c>
      <c r="BD99" s="1242">
        <f ca="1"/>
        <v>0.24000430045871557</v>
      </c>
      <c r="BE99" s="1243">
        <f ca="1"/>
        <v>0</v>
      </c>
      <c r="BF99" s="1243">
        <f ca="1"/>
        <v>0</v>
      </c>
      <c r="BG99" s="1243">
        <f ca="1"/>
        <v>0</v>
      </c>
      <c r="BH99" s="1243">
        <f ca="1"/>
        <v>0.31394289185905222</v>
      </c>
      <c r="BI99" s="1243">
        <f ca="1"/>
        <v>8.9663814917459936E-2</v>
      </c>
      <c r="BJ99" s="1243">
        <f ca="1"/>
        <v>0</v>
      </c>
      <c r="BK99" s="1243">
        <f ca="1"/>
        <v>0</v>
      </c>
      <c r="BL99" s="1244">
        <f ca="1"/>
        <v>0</v>
      </c>
      <c r="BM99" s="888">
        <f t="shared" ca="1" si="53"/>
        <v>0.64361100723522768</v>
      </c>
      <c r="BN99" s="1487" t="str">
        <f ca="1">IF(MarkCurr=BC99,_xlfn.XLOOKUP(MAX(BD99:BL99),BD99:BL99,BD99:BL99),"")</f>
        <v/>
      </c>
      <c r="BO99" s="1491">
        <f ca="1">MAX(INDEX(BD129:BL137,ROW()-ROW(BO$92),MATCH(RIGHT(MarkCurr,1)&amp;"U",$BD$92:$BL$92,0)))</f>
        <v>0</v>
      </c>
      <c r="BT99" s="1305">
        <f t="shared" ca="1" si="55"/>
        <v>1</v>
      </c>
      <c r="BU99" s="1234" t="str">
        <f ca="1"/>
        <v>ZD</v>
      </c>
      <c r="BV99" s="1227" cm="1">
        <f t="array" aca="1" ref="BV99" ca="1">SUM( ($F$7:$F$25=$Q100) * ($F$6:$F$24=BV$92) )</f>
        <v>0</v>
      </c>
      <c r="BW99" s="874" cm="1">
        <f t="array" aca="1" ref="BW99" ca="1">SUM( ($F$7:$F$25=$Q100) * ($F$6:$F$24=BW$92) )</f>
        <v>0</v>
      </c>
      <c r="BX99" s="874" cm="1">
        <f t="array" aca="1" ref="BX99" ca="1">SUM( ($F$7:$F$25=$Q100) * ($F$6:$F$24=BX$92) )</f>
        <v>1</v>
      </c>
      <c r="BY99" s="874" cm="1">
        <f t="array" aca="1" ref="BY99" ca="1">SUM( ($F$7:$F$25=$Q100) * ($F$6:$F$24=BY$92) )</f>
        <v>0</v>
      </c>
      <c r="BZ99" s="874" cm="1">
        <f t="array" aca="1" ref="BZ99" ca="1">SUM( ($F$7:$F$25=$Q100) * ($F$6:$F$24=BZ$92) )</f>
        <v>0</v>
      </c>
      <c r="CA99" s="874" cm="1">
        <f t="array" aca="1" ref="CA99" ca="1">SUM( ($F$7:$F$25=$Q100) * ($F$6:$F$24=CA$92) )</f>
        <v>0</v>
      </c>
      <c r="CB99" s="874" cm="1">
        <f t="array" aca="1" ref="CB99" ca="1">SUM( ($F$7:$F$25=$Q100) * ($F$6:$F$24=CB$92) )</f>
        <v>0</v>
      </c>
      <c r="CC99" s="874" cm="1">
        <f t="array" aca="1" ref="CC99" ca="1">SUM( ($F$7:$F$25=$Q100) * ($F$6:$F$24=CC$92) )</f>
        <v>0</v>
      </c>
      <c r="CD99" s="1228" cm="1">
        <f t="array" aca="1" ref="CD99" ca="1">SUM( ($F$7:$F$25=$Q100) * ($F$6:$F$24=CD$92) )</f>
        <v>0</v>
      </c>
      <c r="CG99" s="1208" cm="1">
        <f t="array" aca="1" ref="CG99" ca="1">IFERROR(INDEX($CJ99:$CR99,
       MATCH(TRUE,
             (($CI99=CH$88)*
              (_xlfn.ANCHORARRAY($CJ$92)=$CH$89)*
              ($CJ99:$CR99&gt;0))&gt;0,
       0)),0)</f>
        <v>0</v>
      </c>
      <c r="CH99" s="1305">
        <f ca="1">SUM(BV99:CD99)</f>
        <v>1</v>
      </c>
      <c r="CI99" s="1234" t="str">
        <f ca="1"/>
        <v>ZD</v>
      </c>
      <c r="CJ99" s="1242">
        <f ca="1">IF(BV99=0,0,BV99/$CH99)</f>
        <v>0</v>
      </c>
      <c r="CK99" s="1243">
        <f ca="1">IF(BW99=0,0,BW99/$CH99)</f>
        <v>0</v>
      </c>
      <c r="CL99" s="1243">
        <f ca="1">IF(BX99=0,0,BX99/$CH99)</f>
        <v>1</v>
      </c>
      <c r="CM99" s="1243">
        <f ca="1">IF(BY99=0,0,BY99/$CH99)</f>
        <v>0</v>
      </c>
      <c r="CN99" s="1243">
        <f ca="1">IF(BZ99=0,0,BZ99/$CH99)</f>
        <v>0</v>
      </c>
      <c r="CO99" s="1243">
        <f ca="1">IF(CA99=0,0,CA99/$CH99)</f>
        <v>0</v>
      </c>
      <c r="CP99" s="1243">
        <f ca="1">IF(CB99=0,0,CB99/$CH99)</f>
        <v>0</v>
      </c>
      <c r="CQ99" s="1243">
        <f ca="1">IF(CC99=0,0,CC99/$CH99)</f>
        <v>0</v>
      </c>
      <c r="CR99" s="1244">
        <f ca="1">IF(CD99=0,0,CD99/$CH99)</f>
        <v>0</v>
      </c>
    </row>
    <row r="100" spans="2:98" x14ac:dyDescent="0.3">
      <c r="B100" s="89" vm="372">
        <f ca="1"/>
        <v>45834</v>
      </c>
      <c r="C100" s="89" vm="373">
        <f ca="1"/>
        <v>677.4</v>
      </c>
      <c r="D100" s="1225">
        <f t="shared" ca="1" si="30"/>
        <v>-2.4622030237581027E-2</v>
      </c>
      <c r="E100" s="294" t="str" cm="1">
        <f t="array" aca="1" ref="E100" ca="1">_xlfn.IFS(D100&gt;ZPercent,"U",D100&lt;=-ZPercent,"D",TRUE,"Z")</f>
        <v>D</v>
      </c>
      <c r="F100" s="294" t="str">
        <f t="shared" ca="1" si="32"/>
        <v>ZD</v>
      </c>
      <c r="G100" s="294" t="str">
        <f t="shared" ca="1" si="33"/>
        <v>UZD</v>
      </c>
      <c r="H100" s="874" t="str">
        <f t="shared" ca="1" si="34"/>
        <v>ZZ</v>
      </c>
      <c r="J100" s="89" vm="374">
        <f ca="1"/>
        <v>45797</v>
      </c>
      <c r="K100" s="89" vm="375">
        <f ca="1"/>
        <v>660</v>
      </c>
      <c r="N100" s="874" t="str">
        <f ca="1">IF(F100=[2]Sheet1!O98,"","dif")</f>
        <v>dif</v>
      </c>
      <c r="Q100" s="1234" t="str">
        <f ca="1"/>
        <v>ZD</v>
      </c>
      <c r="R100" s="1227" cm="1">
        <f t="array" aca="1" ref="R100" ca="1">SUM( ($F$7:$F$212=$Q100) * ($F$6:$F$211=R$93) )</f>
        <v>3</v>
      </c>
      <c r="S100" s="874" cm="1">
        <f t="array" aca="1" ref="S100" ca="1">SUM( ($F$7:$F$212=$Q100) * ($F$6:$F$211=S$93) )</f>
        <v>0</v>
      </c>
      <c r="T100" s="874" cm="1">
        <f t="array" aca="1" ref="T100" ca="1">SUM( ($F$7:$F$212=$Q100) * ($F$6:$F$211=T$93) )</f>
        <v>9</v>
      </c>
      <c r="U100" s="874" cm="1">
        <f t="array" aca="1" ref="U100" ca="1">SUM( ($F$7:$F$212=$Q100) * ($F$6:$F$211=U$93) )</f>
        <v>0</v>
      </c>
      <c r="V100" s="874" cm="1">
        <f t="array" aca="1" ref="V100" ca="1">SUM( ($F$7:$F$212=$Q100) * ($F$6:$F$211=V$93) )</f>
        <v>0</v>
      </c>
      <c r="W100" s="874" cm="1">
        <f t="array" aca="1" ref="W100" ca="1">SUM( ($F$7:$F$212=$Q100) * ($F$6:$F$211=W$93) )</f>
        <v>0</v>
      </c>
      <c r="X100" s="874" cm="1">
        <f t="array" aca="1" ref="X100" ca="1">SUM( ($F$7:$F$212=$Q100) * ($F$6:$F$211=X$93) )</f>
        <v>0</v>
      </c>
      <c r="Y100" s="874" cm="1">
        <f t="array" aca="1" ref="Y100" ca="1">SUM( ($F$7:$F$212=$Q100) * ($F$6:$F$211=Y$93) )</f>
        <v>4</v>
      </c>
      <c r="Z100" s="1228" cm="1">
        <f t="array" aca="1" ref="Z100" ca="1">SUM( ($F$7:$F$212=$Q100) * ($F$6:$F$211=Z$93) )</f>
        <v>0</v>
      </c>
      <c r="AB100" s="1208" cm="1">
        <f t="array" aca="1" ref="AB100" ca="1">IFERROR(INDEX($AE100:$AM100,
       MATCH(TRUE,
             (($AD100=Y$87)*
              ($AE$92:$AM$92=$Y$88)*
              ($AE100:$AM100&gt;0))&gt;0,
       0)),0)</f>
        <v>0</v>
      </c>
      <c r="AC100" s="1305">
        <f ca="1">SUM(R101:Z101)</f>
        <v>12</v>
      </c>
      <c r="AD100" s="1234" t="str">
        <f ca="1">Q101</f>
        <v>DZ</v>
      </c>
      <c r="AE100" s="1242">
        <f ca="1">IF(R101=0,0,R101/$AC100)</f>
        <v>0</v>
      </c>
      <c r="AF100" s="1243">
        <f ca="1">IF(S101=0,0,S101/$AC100)</f>
        <v>0</v>
      </c>
      <c r="AG100" s="1243">
        <f ca="1">IF(T101=0,0,T101/$AC100)</f>
        <v>0</v>
      </c>
      <c r="AH100" s="1243">
        <f ca="1">IF(U101=0,0,U101/$AC100)</f>
        <v>0</v>
      </c>
      <c r="AI100" s="1243">
        <f ca="1">IF(V101=0,0,V101/$AC100)</f>
        <v>0.33333333333333331</v>
      </c>
      <c r="AJ100" s="1243">
        <f ca="1">IF(W101=0,0,W101/$AC100)</f>
        <v>0</v>
      </c>
      <c r="AK100" s="1243">
        <f ca="1">IF(X101=0,0,X101/$AC100)</f>
        <v>0.41666666666666669</v>
      </c>
      <c r="AL100" s="1243">
        <f ca="1">IF(Y101=0,0,Y101/$AC100)</f>
        <v>0</v>
      </c>
      <c r="AM100" s="1244">
        <f ca="1">IF(Z101=0,0,Z101/$AC100)</f>
        <v>0.25</v>
      </c>
      <c r="AP100" s="1497"/>
      <c r="AQ100" s="1249" t="str">
        <f ca="1">Q101</f>
        <v>DZ</v>
      </c>
      <c r="AR100" s="1242">
        <f t="shared" ca="1" si="54"/>
        <v>0</v>
      </c>
      <c r="AS100" s="1243">
        <f t="shared" ca="1" si="45"/>
        <v>0</v>
      </c>
      <c r="AT100" s="1243">
        <f t="shared" ca="1" si="46"/>
        <v>0</v>
      </c>
      <c r="AU100" s="1243">
        <f t="shared" ca="1" si="47"/>
        <v>0</v>
      </c>
      <c r="AV100" s="1243">
        <f t="shared" ca="1" si="48"/>
        <v>0.20952380952380953</v>
      </c>
      <c r="AW100" s="1243">
        <f t="shared" ca="1" si="49"/>
        <v>0</v>
      </c>
      <c r="AX100" s="1243">
        <f t="shared" ca="1" si="50"/>
        <v>0.35947712418300654</v>
      </c>
      <c r="AY100" s="1243">
        <f t="shared" ca="1" si="51"/>
        <v>0</v>
      </c>
      <c r="AZ100" s="1244">
        <f t="shared" ca="1" si="52"/>
        <v>1</v>
      </c>
      <c r="BC100" s="874" t="str">
        <f ca="1">AD100</f>
        <v>DZ</v>
      </c>
      <c r="BD100" s="1242">
        <f ca="1"/>
        <v>0</v>
      </c>
      <c r="BE100" s="1243">
        <f ca="1"/>
        <v>0.3318013223673601</v>
      </c>
      <c r="BF100" s="1243">
        <f ca="1"/>
        <v>0</v>
      </c>
      <c r="BG100" s="1243">
        <f ca="1"/>
        <v>0.20942363967937572</v>
      </c>
      <c r="BH100" s="1243">
        <f ca="1"/>
        <v>0</v>
      </c>
      <c r="BI100" s="1243">
        <f ca="1"/>
        <v>0</v>
      </c>
      <c r="BJ100" s="1243">
        <f ca="1"/>
        <v>1</v>
      </c>
      <c r="BK100" s="1243">
        <f ca="1"/>
        <v>0</v>
      </c>
      <c r="BL100" s="1244">
        <f ca="1"/>
        <v>0</v>
      </c>
      <c r="BM100" s="888">
        <f t="shared" ca="1" si="53"/>
        <v>1.5412249620467358</v>
      </c>
      <c r="BN100" s="1487" t="str">
        <f ca="1">IF(MarkCurr=BC100,_xlfn.XLOOKUP(MAX(BD100:BL100),BD100:BL100,BD100:BL100),"")</f>
        <v/>
      </c>
      <c r="BO100" s="1491">
        <f ca="1">MAX(INDEX(BD130:BL138,ROW()-ROW(BO$92),MATCH(RIGHT(MarkCurr,1)&amp;"U",$BD$92:$BL$92,0)))</f>
        <v>0</v>
      </c>
      <c r="BT100" s="1305">
        <f t="shared" ca="1" si="55"/>
        <v>1</v>
      </c>
      <c r="BU100" s="1234" t="str">
        <f ca="1"/>
        <v>DZ</v>
      </c>
      <c r="BV100" s="1227"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1</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ca="1">SUM(BV100:CD100)</f>
        <v>1</v>
      </c>
      <c r="CI100" s="1234" t="str">
        <f ca="1"/>
        <v>DZ</v>
      </c>
      <c r="CJ100" s="1242">
        <f ca="1">IF(BV100=0,0,BV100/$CH100)</f>
        <v>0</v>
      </c>
      <c r="CK100" s="1243">
        <f ca="1">IF(BW100=0,0,BW100/$CH100)</f>
        <v>0</v>
      </c>
      <c r="CL100" s="1243">
        <f ca="1">IF(BX100=0,0,BX100/$CH100)</f>
        <v>0</v>
      </c>
      <c r="CM100" s="1243">
        <f ca="1">IF(BY100=0,0,BY100/$CH100)</f>
        <v>0</v>
      </c>
      <c r="CN100" s="1243">
        <f ca="1">IF(BZ100=0,0,BZ100/$CH100)</f>
        <v>0</v>
      </c>
      <c r="CO100" s="1243">
        <f ca="1">IF(CA100=0,0,CA100/$CH100)</f>
        <v>0</v>
      </c>
      <c r="CP100" s="1243">
        <f ca="1">IF(CB100=0,0,CB100/$CH100)</f>
        <v>1</v>
      </c>
      <c r="CQ100" s="1243">
        <f ca="1">IF(CC100=0,0,CC100/$CH100)</f>
        <v>0</v>
      </c>
      <c r="CR100" s="1244">
        <f ca="1">IF(CD100=0,0,CD100/$CH100)</f>
        <v>0</v>
      </c>
    </row>
    <row r="101" spans="2:98" ht="23" thickBot="1" x14ac:dyDescent="0.35">
      <c r="B101" s="89" vm="376">
        <f ca="1"/>
        <v>45833</v>
      </c>
      <c r="C101" s="89" vm="377">
        <f ca="1"/>
        <v>694.5</v>
      </c>
      <c r="D101" s="1225">
        <f t="shared" ca="1" si="30"/>
        <v>4.4836563494359601E-3</v>
      </c>
      <c r="E101" s="294" t="str" cm="1">
        <f t="array" aca="1" ref="E101" ca="1">_xlfn.IFS(D101&gt;ZPercent,"U",D101&lt;=-ZPercent,"D",TRUE,"Z")</f>
        <v>Z</v>
      </c>
      <c r="F101" s="294" t="str">
        <f t="shared" ca="1" si="32"/>
        <v>UZ</v>
      </c>
      <c r="G101" s="294" t="str">
        <f t="shared" ca="1" si="33"/>
        <v>UUZ</v>
      </c>
      <c r="H101" s="874" t="str">
        <f t="shared" ca="1" si="34"/>
        <v/>
      </c>
      <c r="J101" s="89" vm="378">
        <f ca="1"/>
        <v>45798</v>
      </c>
      <c r="K101" s="89" vm="379">
        <f ca="1"/>
        <v>664.7</v>
      </c>
      <c r="N101" s="874" t="str">
        <f ca="1">IF(F101=[2]Sheet1!O99,"","dif")</f>
        <v>dif</v>
      </c>
      <c r="Q101" s="1234" t="str">
        <f ca="1"/>
        <v>DZ</v>
      </c>
      <c r="R101" s="1227" cm="1">
        <f t="array" aca="1" ref="R101" ca="1">SUM( ($F$7:$F$212=$Q101) * ($F$6:$F$211=R$93) )</f>
        <v>0</v>
      </c>
      <c r="S101" s="874" cm="1">
        <f t="array" aca="1" ref="S101" ca="1">SUM( ($F$7:$F$212=$Q101) * ($F$6:$F$211=S$93) )</f>
        <v>0</v>
      </c>
      <c r="T101" s="874" cm="1">
        <f t="array" aca="1" ref="T101" ca="1">SUM( ($F$7:$F$212=$Q101) * ($F$6:$F$211=T$93) )</f>
        <v>0</v>
      </c>
      <c r="U101" s="874" cm="1">
        <f t="array" aca="1" ref="U101" ca="1">SUM( ($F$7:$F$212=$Q101) * ($F$6:$F$211=U$93) )</f>
        <v>0</v>
      </c>
      <c r="V101" s="874" cm="1">
        <f t="array" aca="1" ref="V101" ca="1">SUM( ($F$7:$F$212=$Q101) * ($F$6:$F$211=V$93) )</f>
        <v>4</v>
      </c>
      <c r="W101" s="874" cm="1">
        <f t="array" aca="1" ref="W101" ca="1">SUM( ($F$7:$F$212=$Q101) * ($F$6:$F$211=W$93) )</f>
        <v>0</v>
      </c>
      <c r="X101" s="874" cm="1">
        <f t="array" aca="1" ref="X101" ca="1">SUM( ($F$7:$F$212=$Q101) * ($F$6:$F$211=X$93) )</f>
        <v>5</v>
      </c>
      <c r="Y101" s="874" cm="1">
        <f t="array" aca="1" ref="Y101" ca="1">SUM( ($F$7:$F$212=$Q101) * ($F$6:$F$211=Y$93) )</f>
        <v>0</v>
      </c>
      <c r="Z101" s="1228" cm="1">
        <f t="array" aca="1" ref="Z101" ca="1">SUM( ($F$7:$F$212=$Q101) * ($F$6:$F$211=Z$93) )</f>
        <v>3</v>
      </c>
      <c r="AB101" s="1208" cm="1">
        <f t="array" aca="1" ref="AB101" ca="1">IFERROR(INDEX($AE101:$AM101,
       MATCH(TRUE,
             (($AD101=Y$87)*
              ($AE$92:$AM$92=$Y$88)*
              ($AE101:$AM101&gt;0))&gt;0,
       0)),0)</f>
        <v>0</v>
      </c>
      <c r="AC101" s="1305">
        <f ca="1">SUM(R102:Z102)</f>
        <v>3</v>
      </c>
      <c r="AD101" s="1235" t="str">
        <f ca="1">Q102</f>
        <v>ZZ</v>
      </c>
      <c r="AE101" s="1245">
        <f ca="1">IF(R102=0,0,R102/$AC101)</f>
        <v>0</v>
      </c>
      <c r="AF101" s="1246">
        <f ca="1">IF(S102=0,0,S102/$AC101)</f>
        <v>0</v>
      </c>
      <c r="AG101" s="1246">
        <f ca="1">IF(T102=0,0,T102/$AC101)</f>
        <v>0</v>
      </c>
      <c r="AH101" s="1246">
        <f ca="1">IF(U102=0,0,U102/$AC101)</f>
        <v>0</v>
      </c>
      <c r="AI101" s="1246">
        <f ca="1">IF(V102=0,0,V102/$AC101)</f>
        <v>0.66666666666666663</v>
      </c>
      <c r="AJ101" s="1246">
        <f ca="1">IF(W102=0,0,W102/$AC101)</f>
        <v>0</v>
      </c>
      <c r="AK101" s="1246">
        <f ca="1">IF(X102=0,0,X102/$AC101)</f>
        <v>0.33333333333333331</v>
      </c>
      <c r="AL101" s="1246">
        <f ca="1">IF(Y102=0,0,Y102/$AC101)</f>
        <v>0</v>
      </c>
      <c r="AM101" s="1247">
        <f ca="1">IF(Z102=0,0,Z102/$AC101)</f>
        <v>0</v>
      </c>
      <c r="AP101" s="1497"/>
      <c r="AQ101" s="1250" t="str">
        <f ca="1">Q102</f>
        <v>ZZ</v>
      </c>
      <c r="AR101" s="1245">
        <f t="shared" ca="1" si="54"/>
        <v>0</v>
      </c>
      <c r="AS101" s="1246">
        <f t="shared" ca="1" si="45"/>
        <v>0</v>
      </c>
      <c r="AT101" s="1246">
        <f t="shared" ca="1" si="46"/>
        <v>0</v>
      </c>
      <c r="AU101" s="1246">
        <f t="shared" ca="1" si="47"/>
        <v>0</v>
      </c>
      <c r="AV101" s="1246">
        <f t="shared" ca="1" si="48"/>
        <v>0.41904761904761906</v>
      </c>
      <c r="AW101" s="1246">
        <f t="shared" ca="1" si="49"/>
        <v>0</v>
      </c>
      <c r="AX101" s="1246">
        <f t="shared" ca="1" si="50"/>
        <v>0.28758169934640521</v>
      </c>
      <c r="AY101" s="1246">
        <f t="shared" ca="1" si="51"/>
        <v>0</v>
      </c>
      <c r="AZ101" s="1247">
        <f t="shared" ca="1" si="52"/>
        <v>0</v>
      </c>
      <c r="BC101" s="874" t="str">
        <f ca="1">AD101</f>
        <v>ZZ</v>
      </c>
      <c r="BD101" s="1245">
        <f ca="1"/>
        <v>0</v>
      </c>
      <c r="BE101" s="1246">
        <f ca="1"/>
        <v>6.6360264473472028E-2</v>
      </c>
      <c r="BF101" s="1246">
        <f ca="1"/>
        <v>0</v>
      </c>
      <c r="BG101" s="1246">
        <f ca="1"/>
        <v>0.10471181983968786</v>
      </c>
      <c r="BH101" s="1246">
        <f ca="1"/>
        <v>0</v>
      </c>
      <c r="BI101" s="1246">
        <f ca="1"/>
        <v>0</v>
      </c>
      <c r="BJ101" s="1246">
        <f ca="1"/>
        <v>0</v>
      </c>
      <c r="BK101" s="1246">
        <f ca="1"/>
        <v>0</v>
      </c>
      <c r="BL101" s="1247">
        <f ca="1"/>
        <v>0</v>
      </c>
      <c r="BM101" s="888">
        <f t="shared" ca="1" si="53"/>
        <v>0.1710720843131599</v>
      </c>
      <c r="BN101" s="1488" t="str">
        <f ca="1">IF(MarkCurr=BC101,_xlfn.XLOOKUP(MAX(BD101:BL101),BD101:BL101,BD101:BL101),"")</f>
        <v/>
      </c>
      <c r="BO101" s="1492">
        <f ca="1">MAX(INDEX(BD131:BL139,ROW()-ROW(BO$92),MATCH(RIGHT(MarkCurr,1)&amp;"U",$BD$92:$BL$92,0)))</f>
        <v>0</v>
      </c>
      <c r="BT101" s="1305">
        <f t="shared" ca="1" si="55"/>
        <v>0</v>
      </c>
      <c r="BU101" s="1235"/>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0</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ca="1">SUM(BV101:CD101)</f>
        <v>0</v>
      </c>
      <c r="CI101" s="1235"/>
      <c r="CJ101" s="1245">
        <f ca="1">IF(BV101=0,0,BV101/$CH101)</f>
        <v>0</v>
      </c>
      <c r="CK101" s="1246">
        <f ca="1">IF(BW101=0,0,BW101/$CH101)</f>
        <v>0</v>
      </c>
      <c r="CL101" s="1246">
        <f ca="1">IF(BX101=0,0,BX101/$CH101)</f>
        <v>0</v>
      </c>
      <c r="CM101" s="1246">
        <f ca="1">IF(BY101=0,0,BY101/$CH101)</f>
        <v>0</v>
      </c>
      <c r="CN101" s="1246">
        <f ca="1">IF(BZ101=0,0,BZ101/$CH101)</f>
        <v>0</v>
      </c>
      <c r="CO101" s="1246">
        <f ca="1">IF(CA101=0,0,CA101/$CH101)</f>
        <v>0</v>
      </c>
      <c r="CP101" s="1246">
        <f ca="1">IF(CB101=0,0,CB101/$CH101)</f>
        <v>0</v>
      </c>
      <c r="CQ101" s="1246">
        <f ca="1">IF(CC101=0,0,CC101/$CH101)</f>
        <v>0</v>
      </c>
      <c r="CR101" s="1247">
        <f ca="1">IF(CD101=0,0,CD101/$CH101)</f>
        <v>0</v>
      </c>
    </row>
    <row r="102" spans="2:98" ht="23" thickBot="1" x14ac:dyDescent="0.35">
      <c r="B102" s="89" vm="380">
        <f ca="1"/>
        <v>45832</v>
      </c>
      <c r="C102" s="89" vm="381">
        <f ca="1"/>
        <v>691.4</v>
      </c>
      <c r="D102" s="1225">
        <f t="shared" ca="1" si="30"/>
        <v>3.3946463286974621E-2</v>
      </c>
      <c r="E102" s="294" t="str" cm="1">
        <f t="array" aca="1" ref="E102" ca="1">_xlfn.IFS(D102&gt;ZPercent,"U",D102&lt;=-ZPercent,"D",TRUE,"Z")</f>
        <v>U</v>
      </c>
      <c r="F102" s="294" t="str">
        <f t="shared" ca="1" si="32"/>
        <v>UU</v>
      </c>
      <c r="G102" s="294" t="str">
        <f t="shared" ca="1" si="33"/>
        <v>ZUU</v>
      </c>
      <c r="H102" s="874" t="str">
        <f t="shared" ca="1" si="34"/>
        <v/>
      </c>
      <c r="J102" s="89" vm="382">
        <f ca="1"/>
        <v>45799</v>
      </c>
      <c r="K102" s="89" vm="383">
        <f ca="1"/>
        <v>656.8</v>
      </c>
      <c r="N102" s="874" t="str">
        <f ca="1">IF(F102=[2]Sheet1!O100,"","dif")</f>
        <v>dif</v>
      </c>
      <c r="Q102" s="1235" t="str">
        <f ca="1"/>
        <v>ZZ</v>
      </c>
      <c r="R102" s="880" cm="1">
        <f t="array" aca="1" ref="R102" ca="1">SUM( ($F$7:$F$212=$Q102) * ($F$6:$F$211=R$93) )</f>
        <v>0</v>
      </c>
      <c r="S102" s="1229" cm="1">
        <f t="array" aca="1" ref="S102" ca="1">SUM( ($F$7:$F$212=$Q102) * ($F$6:$F$211=S$93) )</f>
        <v>0</v>
      </c>
      <c r="T102" s="1229" cm="1">
        <f t="array" aca="1" ref="T102" ca="1">SUM( ($F$7:$F$212=$Q102) * ($F$6:$F$211=T$93) )</f>
        <v>0</v>
      </c>
      <c r="U102" s="1229" cm="1">
        <f t="array" aca="1" ref="U102" ca="1">SUM( ($F$7:$F$212=$Q102) * ($F$6:$F$211=U$93) )</f>
        <v>0</v>
      </c>
      <c r="V102" s="1229" cm="1">
        <f t="array" aca="1" ref="V102" ca="1">SUM( ($F$7:$F$212=$Q102) * ($F$6:$F$211=V$93) )</f>
        <v>2</v>
      </c>
      <c r="W102" s="1229" cm="1">
        <f t="array" aca="1" ref="W102" ca="1">SUM( ($F$7:$F$212=$Q102) * ($F$6:$F$211=W$93) )</f>
        <v>0</v>
      </c>
      <c r="X102" s="1229" cm="1">
        <f t="array" aca="1" ref="X102" ca="1">SUM( ($F$7:$F$212=$Q102) * ($F$6:$F$211=X$93) )</f>
        <v>1</v>
      </c>
      <c r="Y102" s="1229" cm="1">
        <f t="array" aca="1" ref="Y102" ca="1">SUM( ($F$7:$F$212=$Q102) * ($F$6:$F$211=Y$93) )</f>
        <v>0</v>
      </c>
      <c r="Z102" s="1230" cm="1">
        <f t="array" aca="1" ref="Z102" ca="1">SUM( ($F$7:$F$212=$Q102) * ($F$6:$F$211=Z$93) )</f>
        <v>0</v>
      </c>
      <c r="AC102" s="875"/>
      <c r="AD102" s="1396" t="s">
        <v>2737</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0.15247088767436398</v>
      </c>
      <c r="AF102" s="1208">
        <f ca="1"/>
        <v>0.15603533943409353</v>
      </c>
      <c r="AG102" s="1208">
        <f ca="1"/>
        <v>0.17088595612585664</v>
      </c>
      <c r="AH102" s="1208">
        <f ca="1"/>
        <v>0.17543582270344088</v>
      </c>
      <c r="AI102" s="1208">
        <f ca="1"/>
        <v>9.2415595401182882E-2</v>
      </c>
      <c r="AJ102" s="1208">
        <f ca="1"/>
        <v>0.10726621209294597</v>
      </c>
      <c r="AK102" s="1208">
        <f ca="1"/>
        <v>7.2912647747919973E-2</v>
      </c>
      <c r="AL102" s="1208">
        <f ca="1"/>
        <v>5.8062031056156885E-2</v>
      </c>
      <c r="AM102" s="1208">
        <f ca="1"/>
        <v>1.4515507764039221E-2</v>
      </c>
      <c r="AP102" s="1495"/>
      <c r="AZ102" s="1208"/>
      <c r="BA102" s="1208"/>
      <c r="BB102" s="875"/>
      <c r="BC102" s="874">
        <f t="shared" ref="BC102" si="56">BC87</f>
        <v>0</v>
      </c>
      <c r="BD102" s="1208"/>
      <c r="BE102" s="1208"/>
      <c r="BF102" s="1208"/>
      <c r="BG102" s="1208"/>
      <c r="BH102" s="1208"/>
      <c r="BI102" s="1208"/>
      <c r="BJ102" s="1208"/>
      <c r="BK102" s="1208"/>
      <c r="BL102" s="1208"/>
      <c r="BM102" s="1208"/>
      <c r="BN102" s="1208"/>
    </row>
    <row r="103" spans="2:98" x14ac:dyDescent="0.3">
      <c r="B103" s="89" vm="384">
        <f ca="1"/>
        <v>45831</v>
      </c>
      <c r="C103" s="89" vm="385">
        <f ca="1"/>
        <v>668.7</v>
      </c>
      <c r="D103" s="1225">
        <f t="shared" ca="1" si="30"/>
        <v>2.8136531365313758E-2</v>
      </c>
      <c r="E103" s="294" t="str" cm="1">
        <f t="array" aca="1" ref="E103" ca="1">_xlfn.IFS(D103&gt;ZPercent,"U",D103&lt;=-ZPercent,"D",TRUE,"Z")</f>
        <v>U</v>
      </c>
      <c r="F103" s="294" t="str">
        <f t="shared" ca="1" si="32"/>
        <v>ZU</v>
      </c>
      <c r="G103" s="294" t="str">
        <f t="shared" ca="1" si="33"/>
        <v>DZU</v>
      </c>
      <c r="H103" s="874" t="str">
        <f t="shared" ca="1" si="34"/>
        <v/>
      </c>
      <c r="J103" s="89" vm="386">
        <f ca="1"/>
        <v>45800</v>
      </c>
      <c r="K103" s="89" vm="387">
        <f ca="1"/>
        <v>642.6</v>
      </c>
      <c r="N103" s="874" t="str">
        <f ca="1">IF(F103=[2]Sheet1!O101,"","dif")</f>
        <v>dif</v>
      </c>
    </row>
    <row r="104" spans="2:98" ht="23" thickBot="1" x14ac:dyDescent="0.35">
      <c r="B104" s="89" vm="388">
        <f ca="1"/>
        <v>45828</v>
      </c>
      <c r="C104" s="89" vm="389">
        <f ca="1"/>
        <v>650.4</v>
      </c>
      <c r="D104" s="1225">
        <f t="shared" ca="1" si="30"/>
        <v>-4.134129536058866E-3</v>
      </c>
      <c r="E104" s="294" t="str" cm="1">
        <f t="array" aca="1" ref="E104" ca="1">_xlfn.IFS(D104&gt;ZPercent,"U",D104&lt;=-ZPercent,"D",TRUE,"Z")</f>
        <v>Z</v>
      </c>
      <c r="F104" s="294" t="str">
        <f t="shared" ca="1" si="32"/>
        <v>DZ</v>
      </c>
      <c r="G104" s="294" t="str">
        <f t="shared" ca="1" si="33"/>
        <v>ZDZ</v>
      </c>
      <c r="H104" s="874" t="str">
        <f t="shared" ca="1" si="34"/>
        <v/>
      </c>
      <c r="J104" s="89" vm="390">
        <f ca="1"/>
        <v>45803</v>
      </c>
      <c r="K104" s="89" vm="391">
        <f ca="1"/>
        <v>654</v>
      </c>
      <c r="N104" s="874" t="str">
        <f ca="1">IF(F104=[2]Sheet1!O102,"","dif")</f>
        <v>dif</v>
      </c>
    </row>
    <row r="105" spans="2:98" ht="23" thickBot="1" x14ac:dyDescent="0.35">
      <c r="B105" s="89" vm="392">
        <f ca="1"/>
        <v>45827</v>
      </c>
      <c r="C105" s="89" vm="393">
        <f ca="1"/>
        <v>653.1</v>
      </c>
      <c r="D105" s="1225">
        <f t="shared" ca="1" si="30"/>
        <v>-1.7894736842105231E-2</v>
      </c>
      <c r="E105" s="294" t="str" cm="1">
        <f t="array" aca="1" ref="E105" ca="1">_xlfn.IFS(D105&gt;ZPercent,"U",D105&lt;=-ZPercent,"D",TRUE,"Z")</f>
        <v>D</v>
      </c>
      <c r="F105" s="294" t="str">
        <f t="shared" ca="1" si="32"/>
        <v>ZD</v>
      </c>
      <c r="G105" s="294" t="str">
        <f t="shared" ca="1" si="33"/>
        <v>DZD</v>
      </c>
      <c r="H105" s="874" t="str">
        <f t="shared" ca="1" si="34"/>
        <v>ZZ</v>
      </c>
      <c r="J105" s="89" vm="394">
        <f ca="1"/>
        <v>45804</v>
      </c>
      <c r="K105" s="89" vm="395">
        <f ca="1"/>
        <v>666.1</v>
      </c>
      <c r="N105" s="874" t="str">
        <f ca="1">IF(F105=[2]Sheet1!O103,"","dif")</f>
        <v>dif</v>
      </c>
      <c r="Q105" s="874"/>
      <c r="AB105" s="893" t="str">
        <f>J3</f>
        <v>ASML</v>
      </c>
      <c r="AC105" s="893" t="str">
        <f ca="1">E5</f>
        <v>D</v>
      </c>
      <c r="AD105" s="875" t="s">
        <v>1669</v>
      </c>
      <c r="AE105" s="874" t="s">
        <v>1670</v>
      </c>
      <c r="CG105" s="893" t="str">
        <f>AB105</f>
        <v>ASML</v>
      </c>
      <c r="CH105" s="893" t="str">
        <f ca="1">AC105</f>
        <v>D</v>
      </c>
      <c r="CI105" s="875" t="s">
        <v>1669</v>
      </c>
      <c r="CJ105" s="874" t="s">
        <v>1670</v>
      </c>
    </row>
    <row r="106" spans="2:98" ht="23" thickBot="1" x14ac:dyDescent="0.35">
      <c r="B106" s="89" vm="396">
        <f ca="1"/>
        <v>45826</v>
      </c>
      <c r="C106" s="89" vm="397">
        <f ca="1"/>
        <v>665</v>
      </c>
      <c r="D106" s="1225">
        <f t="shared" ca="1" si="30"/>
        <v>-1.5015015015015015E-3</v>
      </c>
      <c r="E106" s="294" t="str" cm="1">
        <f t="array" aca="1" ref="E106" ca="1">_xlfn.IFS(D106&gt;ZPercent,"U",D106&lt;=-ZPercent,"D",TRUE,"Z")</f>
        <v>Z</v>
      </c>
      <c r="F106" s="294" t="str">
        <f t="shared" ca="1" si="32"/>
        <v>DZ</v>
      </c>
      <c r="G106" s="294" t="str">
        <f t="shared" ca="1" si="33"/>
        <v>UDZ</v>
      </c>
      <c r="H106" s="874" t="str">
        <f t="shared" ca="1" si="34"/>
        <v/>
      </c>
      <c r="J106" s="89" vm="398">
        <f ca="1"/>
        <v>45805</v>
      </c>
      <c r="K106" s="89" vm="399">
        <f ca="1"/>
        <v>660.8</v>
      </c>
      <c r="N106" s="874" t="str">
        <f ca="1">IF(F106=[2]Sheet1!O104,"","dif")</f>
        <v>dif</v>
      </c>
      <c r="Q106" s="874"/>
      <c r="AB106" s="874" t="s">
        <v>2722</v>
      </c>
      <c r="AC106" s="1310" t="s">
        <v>2299</v>
      </c>
      <c r="AD106" s="1209">
        <f ca="1">IFERROR(_xlfn.MINIFS(AE110:AG112, AE110:AG112, "&gt;0", AE110:AG112, "&lt;1"), "")</f>
        <v>7.8947368421052627E-2</v>
      </c>
      <c r="AE106" s="1210">
        <f ca="1">IFERROR(_xlfn.MAXIFS(AE110:AG112, AE110:AG112, "&gt;0", AE110:AG112, "&lt;1"), "")</f>
        <v>0.5</v>
      </c>
      <c r="CG106" s="874" t="s">
        <v>2722</v>
      </c>
      <c r="CH106" s="1310" t="s">
        <v>2299</v>
      </c>
      <c r="CI106" s="1209">
        <f>IFERROR(_xlfn.MINIFS(BD111:BL118, BD111:BL118, "&gt;0", BD111:BL118, "&lt;1"), "")</f>
        <v>0</v>
      </c>
      <c r="CJ106" s="1210">
        <f>IFERROR(_xlfn.MAXIFS(BD111:BL118, BD111:BL118, "&gt;0", BD111:BL118, "&lt;1"), "")</f>
        <v>0</v>
      </c>
    </row>
    <row r="107" spans="2:98" x14ac:dyDescent="0.3">
      <c r="B107" s="89" vm="400">
        <f ca="1"/>
        <v>45825</v>
      </c>
      <c r="C107" s="89" vm="185">
        <f ca="1"/>
        <v>666</v>
      </c>
      <c r="D107" s="1225">
        <f t="shared" ca="1" si="30"/>
        <v>-6.1184897776451613E-3</v>
      </c>
      <c r="E107" s="294" t="str" cm="1">
        <f t="array" aca="1" ref="E107" ca="1">_xlfn.IFS(D107&gt;ZPercent,"U",D107&lt;=-ZPercent,"D",TRUE,"Z")</f>
        <v>D</v>
      </c>
      <c r="F107" s="294" t="str">
        <f t="shared" ca="1" si="32"/>
        <v>UD</v>
      </c>
      <c r="G107" s="294" t="str">
        <f t="shared" ca="1" si="33"/>
        <v>DUD</v>
      </c>
      <c r="H107" s="874" t="str">
        <f t="shared" ca="1" si="34"/>
        <v/>
      </c>
      <c r="J107" s="89" vm="401">
        <f ca="1"/>
        <v>45806</v>
      </c>
      <c r="K107" s="89" vm="402">
        <f ca="1"/>
        <v>665.5</v>
      </c>
      <c r="N107" s="874" t="str">
        <f ca="1">IF(F107=[2]Sheet1!O105,"","dif")</f>
        <v>dif</v>
      </c>
      <c r="Q107" s="875" t="s">
        <v>2672</v>
      </c>
      <c r="AB107" s="1306" t="str">
        <f>IF(AC106=0,"No "&amp;AB106,"Up")</f>
        <v>Up</v>
      </c>
      <c r="AC107" s="1311">
        <f ca="1">MAX(AB110:AB112)</f>
        <v>0.44871794871794873</v>
      </c>
      <c r="AQ107" s="874" t="s">
        <v>2724</v>
      </c>
      <c r="BU107" s="874" t="s">
        <v>2725</v>
      </c>
      <c r="CG107" s="1306" t="str">
        <f>IF(CH106=0,"No "&amp;CG106,"Up")</f>
        <v>Up</v>
      </c>
      <c r="CH107" s="888">
        <f ca="1">MAX(CG111:CG113)</f>
        <v>0.71875</v>
      </c>
      <c r="CP107" s="874" t="s">
        <v>2724</v>
      </c>
    </row>
    <row r="108" spans="2:98" ht="23" thickBot="1" x14ac:dyDescent="0.35">
      <c r="B108" s="89" vm="403">
        <f ca="1"/>
        <v>45824</v>
      </c>
      <c r="C108" s="89" vm="404">
        <f ca="1"/>
        <v>670.1</v>
      </c>
      <c r="D108" s="1225">
        <f t="shared" ca="1" si="30"/>
        <v>8.2756545290400239E-3</v>
      </c>
      <c r="E108" s="294" t="str" cm="1">
        <f t="array" aca="1" ref="E108" ca="1">_xlfn.IFS(D108&gt;ZPercent,"U",D108&lt;=-ZPercent,"D",TRUE,"Z")</f>
        <v>U</v>
      </c>
      <c r="F108" s="294" t="str">
        <f t="shared" ca="1" si="32"/>
        <v>DU</v>
      </c>
      <c r="G108" s="294" t="str">
        <f t="shared" ca="1" si="33"/>
        <v>DDU</v>
      </c>
      <c r="H108" s="874" t="str">
        <f t="shared" ca="1" si="34"/>
        <v/>
      </c>
      <c r="J108" s="89" vm="405">
        <f ca="1"/>
        <v>45807</v>
      </c>
      <c r="K108" s="89" vm="406">
        <f ca="1"/>
        <v>653.9</v>
      </c>
      <c r="N108" s="874" t="str">
        <f ca="1">IF(F108=[2]Sheet1!O106,"","dif")</f>
        <v>dif</v>
      </c>
      <c r="Q108" s="874"/>
      <c r="AC108" s="875"/>
      <c r="AE108" s="1257" t="str">
        <f ca="1">IF($AC$105=AE109,AE109,"")</f>
        <v>D</v>
      </c>
      <c r="AF108" s="1257" t="str">
        <f ca="1">IF($AC$105=AF109,AF109,"")</f>
        <v/>
      </c>
      <c r="AG108" s="1257" t="str">
        <f ca="1">IF($AC$105=AG109,AG109,"")</f>
        <v/>
      </c>
      <c r="AH108" s="930"/>
      <c r="AQ108" s="930"/>
      <c r="AR108" s="1257" t="str">
        <f ca="1">IF($AC$105=AR109,AR109,"")</f>
        <v>D</v>
      </c>
      <c r="AS108" s="1257" t="str">
        <f ca="1">IF($AC$105=AS109,AS109,"")</f>
        <v/>
      </c>
      <c r="AT108" s="1257" t="str">
        <f ca="1">IF($AC$105=AT109,AT109,"")</f>
        <v/>
      </c>
    </row>
    <row r="109" spans="2:98" ht="23" thickBot="1" x14ac:dyDescent="0.35">
      <c r="B109" s="89" vm="407">
        <f ca="1"/>
        <v>45821</v>
      </c>
      <c r="C109" s="89" vm="408">
        <f ca="1"/>
        <v>664.6</v>
      </c>
      <c r="D109" s="1225">
        <f t="shared" ca="1" si="30"/>
        <v>-1.7735737511084836E-2</v>
      </c>
      <c r="E109" s="294" t="str" cm="1">
        <f t="array" aca="1" ref="E109" ca="1">_xlfn.IFS(D109&gt;ZPercent,"U",D109&lt;=-ZPercent,"D",TRUE,"Z")</f>
        <v>D</v>
      </c>
      <c r="F109" s="294" t="str">
        <f t="shared" ca="1" si="32"/>
        <v>DD</v>
      </c>
      <c r="G109" s="294" t="str">
        <f t="shared" ca="1" si="33"/>
        <v>UDD</v>
      </c>
      <c r="H109" s="874" t="str">
        <f t="shared" ca="1" si="34"/>
        <v/>
      </c>
      <c r="J109" s="89" vm="409">
        <f ca="1"/>
        <v>45810</v>
      </c>
      <c r="K109" s="89" vm="214">
        <f ca="1"/>
        <v>646.20000000000005</v>
      </c>
      <c r="N109" s="874" t="str">
        <f ca="1">IF(F109=[2]Sheet1!O107,"","dif")</f>
        <v>dif</v>
      </c>
      <c r="Q109" s="1231"/>
      <c r="R109" s="1231" t="str" cm="1">
        <f t="array" aca="1" ref="R109:T109" ca="1">TRANSPOSE(Q110:Q112)</f>
        <v>D</v>
      </c>
      <c r="S109" s="1237" t="str">
        <f ca="1"/>
        <v>U</v>
      </c>
      <c r="T109" s="1238" t="str">
        <f ca="1"/>
        <v>Z</v>
      </c>
      <c r="AC109" s="875"/>
      <c r="AD109" s="1231">
        <f ca="1">ROWS(_xlfn.UNIQUE(G103:G105))</f>
        <v>3</v>
      </c>
      <c r="AE109" s="1231" t="str">
        <f ca="1">R109</f>
        <v>D</v>
      </c>
      <c r="AF109" s="1237" t="str">
        <f ca="1">S109</f>
        <v>U</v>
      </c>
      <c r="AG109" s="1238" t="str">
        <f ca="1">T109</f>
        <v>Z</v>
      </c>
      <c r="AH109" s="1217"/>
      <c r="AQ109" s="1231"/>
      <c r="AR109" s="1231" t="str">
        <f ca="1">AE109</f>
        <v>D</v>
      </c>
      <c r="AS109" s="1237" t="str">
        <f ca="1">AF109</f>
        <v>U</v>
      </c>
      <c r="AT109" s="1238" t="str">
        <f ca="1">AG109</f>
        <v>Z</v>
      </c>
      <c r="BT109" s="875"/>
      <c r="CH109" s="875"/>
      <c r="CJ109" s="1257" t="str">
        <f ca="1">IF($AC$105=CJ110,CJ110,"")</f>
        <v>D</v>
      </c>
      <c r="CK109" s="1257" t="str">
        <f ca="1">IF($AC$105=CK110,CK110,"")</f>
        <v/>
      </c>
      <c r="CL109" s="1257" t="str">
        <f ca="1">IF($AC$105=CL110,CL110,"")</f>
        <v/>
      </c>
      <c r="CM109" s="930"/>
      <c r="CP109" s="930"/>
      <c r="CQ109" s="1257" t="str">
        <f ca="1">IF($AC$105=CQ110,CQ110,"")</f>
        <v>D</v>
      </c>
      <c r="CR109" s="1257" t="str">
        <f ca="1">IF($AC$105=CR110,CR110,"")</f>
        <v/>
      </c>
      <c r="CT109" s="1311">
        <f>MAX(CT111:CT113)</f>
        <v>0</v>
      </c>
    </row>
    <row r="110" spans="2:98" ht="24" thickTop="1" thickBot="1" x14ac:dyDescent="0.35">
      <c r="B110" s="89" vm="410">
        <f ca="1"/>
        <v>45820</v>
      </c>
      <c r="C110" s="89" vm="171">
        <f ca="1"/>
        <v>676.6</v>
      </c>
      <c r="D110" s="1225">
        <f t="shared" ca="1" si="30"/>
        <v>-1.9704433497536977E-2</v>
      </c>
      <c r="E110" s="294" t="str" cm="1">
        <f t="array" aca="1" ref="E110" ca="1">_xlfn.IFS(D110&gt;ZPercent,"U",D110&lt;=-ZPercent,"D",TRUE,"Z")</f>
        <v>D</v>
      </c>
      <c r="F110" s="294" t="str">
        <f t="shared" ca="1" si="32"/>
        <v>UD</v>
      </c>
      <c r="G110" s="294" t="str">
        <f t="shared" ca="1" si="33"/>
        <v>UUD</v>
      </c>
      <c r="H110" s="874" t="str">
        <f t="shared" ca="1" si="34"/>
        <v/>
      </c>
      <c r="J110" s="89" vm="411">
        <f ca="1"/>
        <v>45811</v>
      </c>
      <c r="K110" s="89" vm="393">
        <f ca="1"/>
        <v>653.1</v>
      </c>
      <c r="N110" s="874" t="str">
        <f ca="1">IF(F110=[2]Sheet1!O108,"","dif")</f>
        <v/>
      </c>
      <c r="P110" s="875"/>
      <c r="Q110" s="1249" t="str" cm="1">
        <f t="array" aca="1" ref="Q110:Q112" ca="1">_xlfn.UNIQUE(E5:E25)</f>
        <v>D</v>
      </c>
      <c r="R110" s="1253" cm="1">
        <f t="array" aca="1" ref="R110" ca="1">SUM( ($E$7:$E$212=$Q110) * ($E$6:$E$211=R$109) )</f>
        <v>31</v>
      </c>
      <c r="S110" s="1253" cm="1">
        <f t="array" aca="1" ref="S110" ca="1">SUM( ($E$7:$E$212=$Q110) * ($E$6:$E$211=S$109) )</f>
        <v>35</v>
      </c>
      <c r="T110" s="1254" cm="1">
        <f t="array" aca="1" ref="T110" ca="1">SUM( ($E$7:$E$212=$Q110) * ($E$6:$E$211=T$109) )</f>
        <v>12</v>
      </c>
      <c r="AB110" s="1208" cm="1">
        <f t="array" aca="1" ref="AB110" ca="1">IFERROR(INDEX($AE110:$AG110,
       MATCH(TRUE,
             (($AD110=AC$105)*
              ($AE$109:$AG$109=$AC$106)*
              ($AE110:$AG110&gt;0))&gt;0,
       0)),0)</f>
        <v>0.44871794871794873</v>
      </c>
      <c r="AC110" s="1305">
        <f ca="1">SUM(R110:T110)</f>
        <v>78</v>
      </c>
      <c r="AD110" s="1249" t="str">
        <f ca="1">Q110</f>
        <v>D</v>
      </c>
      <c r="AE110" s="1243">
        <f ca="1">R110/$AC110</f>
        <v>0.39743589743589741</v>
      </c>
      <c r="AF110" s="1243">
        <f ca="1">S110/$AC110</f>
        <v>0.44871794871794873</v>
      </c>
      <c r="AG110" s="1244">
        <f ca="1">T110/$AC110</f>
        <v>0.15384615384615385</v>
      </c>
      <c r="AQ110" s="1249" t="str">
        <f ca="1">AD110</f>
        <v>D</v>
      </c>
      <c r="AR110" s="1243">
        <f ca="1">AE110/SUM(AE$110:AE$112)</f>
        <v>0.33851871719222959</v>
      </c>
      <c r="AS110" s="1243">
        <f ca="1">AF110/SUM(AF$110:AF$112)</f>
        <v>0.33269961977186313</v>
      </c>
      <c r="AT110" s="1244">
        <f ca="1">AG110/SUM(AG$110:AG$112)</f>
        <v>0.32236780092374395</v>
      </c>
      <c r="BU110" s="1231"/>
      <c r="BV110" s="1231" t="str" cm="1">
        <f t="array" aca="1" ref="BV110:BX110" ca="1">TRANSPOSE(BU111:BU113)</f>
        <v>D</v>
      </c>
      <c r="BW110" s="1237" t="str">
        <f ca="1"/>
        <v>U</v>
      </c>
      <c r="BX110" s="1238" t="str">
        <f ca="1"/>
        <v>Z</v>
      </c>
      <c r="CH110" s="875"/>
      <c r="CI110" s="1231">
        <f>ROWS(_xlfn.UNIQUE(AH113:AH115))</f>
        <v>1</v>
      </c>
      <c r="CJ110" s="1231" t="str">
        <f ca="1">BV110</f>
        <v>D</v>
      </c>
      <c r="CK110" s="1237" t="str">
        <f ca="1">BW110</f>
        <v>U</v>
      </c>
      <c r="CL110" s="1238" t="str">
        <f ca="1">BX110</f>
        <v>Z</v>
      </c>
      <c r="CM110" s="1217"/>
      <c r="CP110" s="1231"/>
      <c r="CQ110" s="1231" t="str">
        <f ca="1">CJ110</f>
        <v>D</v>
      </c>
      <c r="CR110" s="1237" t="str">
        <f ca="1">CK110</f>
        <v>U</v>
      </c>
      <c r="CS110" s="1238" t="str">
        <f ca="1">CL110</f>
        <v>Z</v>
      </c>
    </row>
    <row r="111" spans="2:98" ht="23" thickTop="1" x14ac:dyDescent="0.3">
      <c r="B111" s="89" vm="412">
        <f ca="1"/>
        <v>45819</v>
      </c>
      <c r="C111" s="89" vm="413">
        <f ca="1"/>
        <v>690.2</v>
      </c>
      <c r="D111" s="1225">
        <f t="shared" ca="1" si="30"/>
        <v>8.3272461650840696E-3</v>
      </c>
      <c r="E111" s="294" t="str" cm="1">
        <f t="array" aca="1" ref="E111" ca="1">_xlfn.IFS(D111&gt;ZPercent,"U",D111&lt;=-ZPercent,"D",TRUE,"Z")</f>
        <v>U</v>
      </c>
      <c r="F111" s="294" t="str">
        <f t="shared" ca="1" si="32"/>
        <v>UU</v>
      </c>
      <c r="G111" s="294" t="str">
        <f t="shared" ca="1" si="33"/>
        <v>UUU</v>
      </c>
      <c r="H111" s="874" t="str">
        <f t="shared" ca="1" si="34"/>
        <v/>
      </c>
      <c r="J111" s="89" vm="414">
        <f ca="1"/>
        <v>45812</v>
      </c>
      <c r="K111" s="89" vm="415">
        <f ca="1"/>
        <v>652.4</v>
      </c>
      <c r="N111" s="874" t="str">
        <f ca="1">IF(F111=[2]Sheet1!O109,"","dif")</f>
        <v>dif</v>
      </c>
      <c r="P111" s="875"/>
      <c r="Q111" s="1249" t="str">
        <f ca="1"/>
        <v>U</v>
      </c>
      <c r="R111" s="1253" cm="1">
        <f t="array" aca="1" ref="R111" ca="1">SUM( ($E$7:$E$212=$Q111) * ($E$6:$E$211=R$109) )</f>
        <v>32</v>
      </c>
      <c r="S111" s="1253" cm="1">
        <f t="array" aca="1" ref="S111" ca="1">SUM( ($E$7:$E$212=$Q111) * ($E$6:$E$211=S$109) )</f>
        <v>36</v>
      </c>
      <c r="T111" s="1254" cm="1">
        <f t="array" aca="1" ref="T111" ca="1">SUM( ($E$7:$E$212=$Q111) * ($E$6:$E$211=T$109) )</f>
        <v>22</v>
      </c>
      <c r="AB111" s="1208" cm="1">
        <f t="array" aca="1" ref="AB111" ca="1">IFERROR(INDEX($AE111:$AG111,
       MATCH(TRUE,
             (($AD111=AC$105)*
              ($AE$109:$AG$109=$AC$106)*
              ($AE111:$AG111&gt;0))&gt;0,
       0)),0)</f>
        <v>0</v>
      </c>
      <c r="AC111" s="1305">
        <f ca="1">SUM(R111:T111)</f>
        <v>90</v>
      </c>
      <c r="AD111" s="1249" t="str">
        <f ca="1">Q111</f>
        <v>U</v>
      </c>
      <c r="AE111" s="1243">
        <f ca="1">R111/$AC111</f>
        <v>0.35555555555555557</v>
      </c>
      <c r="AF111" s="1243">
        <f ca="1">S111/$AC111</f>
        <v>0.4</v>
      </c>
      <c r="AG111" s="1244">
        <f ca="1">T111/$AC111</f>
        <v>0.24444444444444444</v>
      </c>
      <c r="AQ111" s="1249" t="str">
        <f ca="1">AD111</f>
        <v>U</v>
      </c>
      <c r="AR111" s="1243">
        <f ca="1">AE111/SUM(AE$110:AE$112)</f>
        <v>0.30284685236982262</v>
      </c>
      <c r="AS111" s="1243">
        <f ca="1">AF111/SUM(AF$110:AF$112)</f>
        <v>0.29657794676806082</v>
      </c>
      <c r="AT111" s="1244">
        <f ca="1">AG111/SUM(AG$110:AG$112)</f>
        <v>0.51220661702328207</v>
      </c>
      <c r="BT111" s="1305">
        <f ca="1">SUM(BV111:BX111)</f>
        <v>32</v>
      </c>
      <c r="BU111" s="1249" t="str" cm="1">
        <f t="array" aca="1" ref="BU111:BU113" ca="1">_xlfn.UNIQUE(E5:E25)</f>
        <v>D</v>
      </c>
      <c r="BV111" s="1253" cm="1">
        <f t="array" aca="1" ref="BV111" ca="1">SUM( ($E$7:$E$25=$Q94) * ($E$6:$E$24=BV$92) )</f>
        <v>0</v>
      </c>
      <c r="BW111" s="1253" cm="1">
        <f t="array" aca="1" ref="BW111" ca="1">SUM( ($E$7:$E$155=$Q110) * ($E$6:$E$154=BW$110) )</f>
        <v>23</v>
      </c>
      <c r="BX111" s="1254" cm="1">
        <f t="array" aca="1" ref="BX111" ca="1">SUM( ($E$7:$E$155=$Q110) * ($E$6:$E$154=BX$110) )</f>
        <v>9</v>
      </c>
      <c r="CG111" s="1208" cm="1">
        <f t="array" aca="1" ref="CG111" ca="1">IFERROR(INDEX($CJ111:$CL111,
       MATCH(TRUE,
             (($CI111=CH$105)*
              ($CJ$110:$CL$110=$CH$106)*
              ($CJ111:$CL111&gt;0))&gt;0,
       0)),0)</f>
        <v>0.71875</v>
      </c>
      <c r="CI111" s="1249" t="str">
        <f ca="1">BU111</f>
        <v>D</v>
      </c>
      <c r="CJ111" s="1243">
        <f ca="1">BV111/$BT111</f>
        <v>0</v>
      </c>
      <c r="CK111" s="1243">
        <f ca="1">BW111/$BT111</f>
        <v>0.71875</v>
      </c>
      <c r="CL111" s="1244">
        <f ca="1">BX111/$BT111</f>
        <v>0.28125</v>
      </c>
      <c r="CP111" s="1249" t="str">
        <f ca="1">CI111</f>
        <v>D</v>
      </c>
      <c r="CQ111" s="1243">
        <f ca="1">CJ111/SUM(CJ$111:CJ$113)</f>
        <v>0</v>
      </c>
      <c r="CR111" s="1243">
        <f ca="1">CK111/SUM(CK$111:CK$113)</f>
        <v>0.40792295831790037</v>
      </c>
      <c r="CS111" s="1244">
        <f ca="1">CL111/SUM(CL$111:CL$113)</f>
        <v>0.46584881470122425</v>
      </c>
    </row>
    <row r="112" spans="2:98" ht="23" thickBot="1" x14ac:dyDescent="0.35">
      <c r="B112" s="89" vm="416">
        <f ca="1"/>
        <v>45818</v>
      </c>
      <c r="C112" s="89" vm="417">
        <f ca="1"/>
        <v>684.5</v>
      </c>
      <c r="D112" s="1225">
        <f t="shared" ca="1" si="30"/>
        <v>6.469636818114949E-3</v>
      </c>
      <c r="E112" s="294" t="str" cm="1">
        <f t="array" aca="1" ref="E112" ca="1">_xlfn.IFS(D112&gt;ZPercent,"U",D112&lt;=-ZPercent,"D",TRUE,"Z")</f>
        <v>U</v>
      </c>
      <c r="F112" s="294" t="str">
        <f t="shared" ca="1" si="32"/>
        <v>UU</v>
      </c>
      <c r="G112" s="294" t="str">
        <f t="shared" ca="1" si="33"/>
        <v>UUU</v>
      </c>
      <c r="H112" s="874" t="str">
        <f t="shared" ca="1" si="34"/>
        <v/>
      </c>
      <c r="J112" s="89" vm="418">
        <f ca="1"/>
        <v>45813</v>
      </c>
      <c r="K112" s="89" vm="419">
        <f ca="1"/>
        <v>659</v>
      </c>
      <c r="N112" s="874" t="str">
        <f ca="1">IF(F112=[2]Sheet1!O110,"","dif")</f>
        <v>dif</v>
      </c>
      <c r="P112" s="875"/>
      <c r="Q112" s="1250" t="str">
        <f ca="1"/>
        <v>Z</v>
      </c>
      <c r="R112" s="1255" cm="1">
        <f t="array" aca="1" ref="R112" ca="1">SUM( ($E$7:$E$212=$Q112) * ($E$6:$E$211=R$109) )</f>
        <v>16</v>
      </c>
      <c r="S112" s="1255" cm="1">
        <f t="array" aca="1" ref="S112" ca="1">SUM( ($E$7:$E$212=$Q112) * ($E$6:$E$211=S$109) )</f>
        <v>19</v>
      </c>
      <c r="T112" s="1256" cm="1">
        <f t="array" aca="1" ref="T112" ca="1">SUM( ($E$7:$E$212=$Q112) * ($E$6:$E$211=T$109) )</f>
        <v>3</v>
      </c>
      <c r="AB112" s="1208" cm="1">
        <f t="array" aca="1" ref="AB112" ca="1">IFERROR(INDEX($AE112:$AG112,
       MATCH(TRUE,
             (($AD112=AC$105)*
              ($AE$109:$AG$109=$AC$106)*
              ($AE112:$AG112&gt;0))&gt;0,
       0)),0)</f>
        <v>0</v>
      </c>
      <c r="AC112" s="1305">
        <f ca="1">SUM(R112:T112)</f>
        <v>38</v>
      </c>
      <c r="AD112" s="1250" t="str">
        <f ca="1">Q112</f>
        <v>Z</v>
      </c>
      <c r="AE112" s="1246">
        <f ca="1">R112/$AC112</f>
        <v>0.42105263157894735</v>
      </c>
      <c r="AF112" s="1246">
        <f ca="1">S112/$AC112</f>
        <v>0.5</v>
      </c>
      <c r="AG112" s="1247">
        <f ca="1">T112/$AC112</f>
        <v>7.8947368421052627E-2</v>
      </c>
      <c r="AQ112" s="1250" t="str">
        <f ca="1">AD112</f>
        <v>Z</v>
      </c>
      <c r="AR112" s="1246">
        <f ca="1">AE112/SUM(AE$110:AE$112)</f>
        <v>0.35863443043794779</v>
      </c>
      <c r="AS112" s="1246">
        <f ca="1">AF112/SUM(AF$110:AF$112)</f>
        <v>0.370722433460076</v>
      </c>
      <c r="AT112" s="1247">
        <f ca="1">AG112/SUM(AG$110:AG$112)</f>
        <v>0.16542558205297386</v>
      </c>
      <c r="BT112" s="1305">
        <f ca="1">SUM(BV112:BX112)</f>
        <v>71</v>
      </c>
      <c r="BU112" s="1249" t="str">
        <f ca="1"/>
        <v>U</v>
      </c>
      <c r="BV112" s="1253" cm="1">
        <f t="array" aca="1" ref="BV112" ca="1">SUM( ($E$7:$E$155=$Q111) * ($E$6:$E$154=BV$110) )</f>
        <v>23</v>
      </c>
      <c r="BW112" s="1253" cm="1">
        <f t="array" aca="1" ref="BW112" ca="1">SUM( ($E$7:$E$155=$Q111) * ($E$6:$E$154=BW$110) )</f>
        <v>30</v>
      </c>
      <c r="BX112" s="1254" cm="1">
        <f t="array" aca="1" ref="BX112" ca="1">SUM( ($E$7:$E$155=$Q111) * ($E$6:$E$154=BX$110) )</f>
        <v>18</v>
      </c>
      <c r="CG112" s="1208" cm="1">
        <f t="array" aca="1" ref="CG112" ca="1">IFERROR(INDEX($CJ112:$CL112,
       MATCH(TRUE,
             (($CI112=CH$105)*
              ($CJ$110:$CL$110=$CH$106)*
              ($CJ112:$CL112&gt;0))&gt;0,
       0)),0)</f>
        <v>0</v>
      </c>
      <c r="CI112" s="1249" t="str">
        <f ca="1">BU112</f>
        <v>U</v>
      </c>
      <c r="CJ112" s="1243">
        <f ca="1">BV112/$BT112</f>
        <v>0.323943661971831</v>
      </c>
      <c r="CK112" s="1243">
        <f ca="1">BW112/$BT112</f>
        <v>0.42253521126760563</v>
      </c>
      <c r="CL112" s="1244">
        <f ca="1">BX112/$BT112</f>
        <v>0.25352112676056338</v>
      </c>
      <c r="CP112" s="1249" t="str">
        <f ca="1">CI112</f>
        <v>U</v>
      </c>
      <c r="CQ112" s="1243">
        <f ca="1">CJ112/SUM(CJ$111:CJ$113)</f>
        <v>0.51071975497702915</v>
      </c>
      <c r="CR112" s="1243">
        <f ca="1">CK112/SUM(CK$111:CK$113)</f>
        <v>0.23980774034610186</v>
      </c>
      <c r="CS112" s="1244">
        <f ca="1">CL112/SUM(CL$111:CL$113)</f>
        <v>0.41992005832223028</v>
      </c>
    </row>
    <row r="113" spans="2:97" ht="23" thickBot="1" x14ac:dyDescent="0.35">
      <c r="B113" s="89" vm="420">
        <f ca="1"/>
        <v>45817</v>
      </c>
      <c r="C113" s="89" vm="421">
        <f ca="1"/>
        <v>680.1</v>
      </c>
      <c r="D113" s="1225">
        <f t="shared" ca="1" si="30"/>
        <v>1.872378669862193E-2</v>
      </c>
      <c r="E113" s="294" t="str" cm="1">
        <f t="array" aca="1" ref="E113" ca="1">_xlfn.IFS(D113&gt;ZPercent,"U",D113&lt;=-ZPercent,"D",TRUE,"Z")</f>
        <v>U</v>
      </c>
      <c r="F113" s="294" t="str">
        <f t="shared" ca="1" si="32"/>
        <v>UU</v>
      </c>
      <c r="G113" s="294" t="str">
        <f t="shared" ca="1" si="33"/>
        <v>UUU</v>
      </c>
      <c r="H113" s="874" t="str">
        <f t="shared" ca="1" si="34"/>
        <v/>
      </c>
      <c r="J113" s="89" vm="422">
        <f ca="1"/>
        <v>45814</v>
      </c>
      <c r="K113" s="89" vm="423">
        <f ca="1"/>
        <v>667.6</v>
      </c>
      <c r="N113" s="874" t="str">
        <f ca="1">IF(F113=[2]Sheet1!O111,"","dif")</f>
        <v>dif</v>
      </c>
      <c r="AC113" s="875"/>
      <c r="AD113" s="1396" t="s">
        <v>2737</v>
      </c>
      <c r="AE113" s="874">
        <v>0.38786090647190596</v>
      </c>
      <c r="AF113" s="874">
        <v>0.26722571712731896</v>
      </c>
      <c r="AG113" s="874">
        <v>0.34491337640077513</v>
      </c>
      <c r="AQ113" s="1396" t="s">
        <v>2737</v>
      </c>
      <c r="AR113" s="874">
        <v>0.33359290047434614</v>
      </c>
      <c r="AS113" s="874">
        <v>0.33312884953579752</v>
      </c>
      <c r="AT113" s="874">
        <v>0.33327824998985628</v>
      </c>
      <c r="BT113" s="1305">
        <f ca="1">SUM(BV113:BX113)</f>
        <v>29</v>
      </c>
      <c r="BU113" s="1250" t="str">
        <f ca="1"/>
        <v>Z</v>
      </c>
      <c r="BV113" s="1255" cm="1">
        <f t="array" aca="1" ref="BV113" ca="1">SUM( ($E$7:$E$155=$Q112) * ($E$6:$E$154=BV$110) )</f>
        <v>9</v>
      </c>
      <c r="BW113" s="1255" cm="1">
        <f t="array" aca="1" ref="BW113" ca="1">SUM( ($E$7:$E$155=$Q112) * ($E$6:$E$154=BW$110) )</f>
        <v>18</v>
      </c>
      <c r="BX113" s="1256" cm="1">
        <f t="array" aca="1" ref="BX113" ca="1">SUM( ($E$7:$E$155=$Q112) * ($E$6:$E$154=BX$110) )</f>
        <v>2</v>
      </c>
      <c r="CG113" s="1208" cm="1">
        <f t="array" aca="1" ref="CG113" ca="1">IFERROR(INDEX($CJ113:$CL113,
       MATCH(TRUE,
             (($CI113=CH$105)*
              ($CJ$110:$CL$110=$CH$106)*
              ($CJ113:$CL113&gt;0))&gt;0,
       0)),0)</f>
        <v>0</v>
      </c>
      <c r="CI113" s="1250" t="str">
        <f ca="1">BU113</f>
        <v>Z</v>
      </c>
      <c r="CJ113" s="1246">
        <f ca="1">BV113/$BT113</f>
        <v>0.31034482758620691</v>
      </c>
      <c r="CK113" s="1246">
        <f ca="1">BW113/$BT113</f>
        <v>0.62068965517241381</v>
      </c>
      <c r="CL113" s="1247">
        <f ca="1">BX113/$BT113</f>
        <v>6.8965517241379309E-2</v>
      </c>
      <c r="CP113" s="1250" t="str">
        <f ca="1">CI113</f>
        <v>Z</v>
      </c>
      <c r="CQ113" s="1246">
        <f ca="1">CJ113/SUM(CJ$111:CJ$113)</f>
        <v>0.48928024502297096</v>
      </c>
      <c r="CR113" s="1246">
        <f ca="1">CK113/SUM(CK$111:CK$113)</f>
        <v>0.35226930133599793</v>
      </c>
      <c r="CS113" s="1247">
        <f ca="1">CL113/SUM(CL$111:CL$113)</f>
        <v>0.1142311269765454</v>
      </c>
    </row>
    <row r="114" spans="2:97" x14ac:dyDescent="0.3">
      <c r="B114" s="89" vm="422">
        <f ca="1"/>
        <v>45814</v>
      </c>
      <c r="C114" s="89" vm="423">
        <f ca="1"/>
        <v>667.6</v>
      </c>
      <c r="D114" s="1225">
        <f t="shared" ca="1" si="30"/>
        <v>1.3050075872534176E-2</v>
      </c>
      <c r="E114" s="294" t="str" cm="1">
        <f t="array" aca="1" ref="E114" ca="1">_xlfn.IFS(D114&gt;ZPercent,"U",D114&lt;=-ZPercent,"D",TRUE,"Z")</f>
        <v>U</v>
      </c>
      <c r="F114" s="294" t="str">
        <f t="shared" ca="1" si="32"/>
        <v>UU</v>
      </c>
      <c r="G114" s="294" t="str">
        <f t="shared" ca="1" si="33"/>
        <v>ZUU</v>
      </c>
      <c r="H114" s="874" t="str">
        <f t="shared" ca="1" si="34"/>
        <v/>
      </c>
      <c r="J114" s="89" vm="420">
        <f ca="1"/>
        <v>45817</v>
      </c>
      <c r="K114" s="89" vm="421">
        <f ca="1"/>
        <v>680.1</v>
      </c>
      <c r="N114" s="874" t="str">
        <f ca="1">IF(F114=[2]Sheet1!O112,"","dif")</f>
        <v>dif</v>
      </c>
    </row>
    <row r="115" spans="2:97" x14ac:dyDescent="0.3">
      <c r="B115" s="89" vm="418">
        <f ca="1"/>
        <v>45813</v>
      </c>
      <c r="C115" s="89" vm="419">
        <f ca="1"/>
        <v>659</v>
      </c>
      <c r="D115" s="1225">
        <f t="shared" ca="1" si="30"/>
        <v>1.011649294911101E-2</v>
      </c>
      <c r="E115" s="294" t="str" cm="1">
        <f t="array" aca="1" ref="E115" ca="1">_xlfn.IFS(D115&gt;ZPercent,"U",D115&lt;=-ZPercent,"D",TRUE,"Z")</f>
        <v>U</v>
      </c>
      <c r="F115" s="294" t="str">
        <f t="shared" ca="1" si="32"/>
        <v>ZU</v>
      </c>
      <c r="G115" s="294" t="str">
        <f t="shared" ca="1" si="33"/>
        <v>UZU</v>
      </c>
      <c r="H115" s="874" t="str">
        <f t="shared" ca="1" si="34"/>
        <v/>
      </c>
      <c r="J115" s="89" vm="416">
        <f ca="1"/>
        <v>45818</v>
      </c>
      <c r="K115" s="89" vm="417">
        <f ca="1"/>
        <v>684.5</v>
      </c>
      <c r="N115" s="874" t="str">
        <f ca="1">IF(F115=[2]Sheet1!O113,"","dif")</f>
        <v>dif</v>
      </c>
    </row>
    <row r="116" spans="2:97" x14ac:dyDescent="0.3">
      <c r="B116" s="89" vm="414">
        <f ca="1"/>
        <v>45812</v>
      </c>
      <c r="C116" s="89" vm="415">
        <f ca="1"/>
        <v>652.4</v>
      </c>
      <c r="D116" s="1225">
        <f t="shared" ca="1" si="30"/>
        <v>-1.0718113612004983E-3</v>
      </c>
      <c r="E116" s="294" t="str" cm="1">
        <f t="array" aca="1" ref="E116" ca="1">_xlfn.IFS(D116&gt;ZPercent,"U",D116&lt;=-ZPercent,"D",TRUE,"Z")</f>
        <v>Z</v>
      </c>
      <c r="F116" s="294" t="str">
        <f t="shared" ca="1" si="32"/>
        <v>UZ</v>
      </c>
      <c r="G116" s="294" t="str">
        <f t="shared" ca="1" si="33"/>
        <v>DUZ</v>
      </c>
      <c r="H116" s="874" t="str">
        <f t="shared" ca="1" si="34"/>
        <v/>
      </c>
      <c r="J116" s="89" vm="412">
        <f ca="1"/>
        <v>45819</v>
      </c>
      <c r="K116" s="89" vm="413">
        <f ca="1"/>
        <v>690.2</v>
      </c>
      <c r="N116" s="874" t="str">
        <f ca="1">IF(F116=[2]Sheet1!O114,"","dif")</f>
        <v>dif</v>
      </c>
    </row>
    <row r="117" spans="2:97" x14ac:dyDescent="0.3">
      <c r="B117" s="89" vm="411">
        <f ca="1"/>
        <v>45811</v>
      </c>
      <c r="C117" s="89" vm="393">
        <f ca="1"/>
        <v>653.1</v>
      </c>
      <c r="D117" s="1225">
        <f t="shared" ca="1" si="30"/>
        <v>1.0677808727947968E-2</v>
      </c>
      <c r="E117" s="294" t="str" cm="1">
        <f t="array" aca="1" ref="E117" ca="1">_xlfn.IFS(D117&gt;ZPercent,"U",D117&lt;=-ZPercent,"D",TRUE,"Z")</f>
        <v>U</v>
      </c>
      <c r="F117" s="294" t="str">
        <f t="shared" ca="1" si="32"/>
        <v>DU</v>
      </c>
      <c r="G117" s="294" t="str">
        <f t="shared" ca="1" si="33"/>
        <v>DDU</v>
      </c>
      <c r="H117" s="874" t="str">
        <f t="shared" ca="1" si="34"/>
        <v/>
      </c>
      <c r="J117" s="89" vm="410">
        <f ca="1"/>
        <v>45820</v>
      </c>
      <c r="K117" s="89" vm="171">
        <f ca="1"/>
        <v>676.6</v>
      </c>
      <c r="N117" s="874" t="str">
        <f ca="1">IF(F117=[2]Sheet1!O115,"","dif")</f>
        <v>dif</v>
      </c>
    </row>
    <row r="118" spans="2:97" x14ac:dyDescent="0.3">
      <c r="B118" s="89" vm="409">
        <f ca="1"/>
        <v>45810</v>
      </c>
      <c r="C118" s="89" vm="214">
        <f ca="1"/>
        <v>646.20000000000005</v>
      </c>
      <c r="D118" s="1225">
        <f t="shared" ca="1" si="30"/>
        <v>-1.1775500841107098E-2</v>
      </c>
      <c r="E118" s="294" t="str" cm="1">
        <f t="array" aca="1" ref="E118" ca="1">_xlfn.IFS(D118&gt;ZPercent,"U",D118&lt;=-ZPercent,"D",TRUE,"Z")</f>
        <v>D</v>
      </c>
      <c r="F118" s="294" t="str">
        <f t="shared" ca="1" si="32"/>
        <v>DD</v>
      </c>
      <c r="G118" s="294" t="str">
        <f t="shared" ca="1" si="33"/>
        <v>UDD</v>
      </c>
      <c r="H118" s="874" t="str">
        <f t="shared" ca="1" si="34"/>
        <v/>
      </c>
      <c r="J118" s="89" vm="407">
        <f ca="1"/>
        <v>45821</v>
      </c>
      <c r="K118" s="89" vm="408">
        <f ca="1"/>
        <v>664.6</v>
      </c>
      <c r="N118" s="874" t="str">
        <f ca="1">IF(F118=[2]Sheet1!O116,"","dif")</f>
        <v>dif</v>
      </c>
    </row>
    <row r="119" spans="2:97" ht="27" x14ac:dyDescent="0.35">
      <c r="B119" s="89" vm="405">
        <f ca="1"/>
        <v>45807</v>
      </c>
      <c r="C119" s="89" vm="406">
        <f ca="1"/>
        <v>653.9</v>
      </c>
      <c r="D119" s="1225">
        <f t="shared" ca="1" si="30"/>
        <v>-1.7430503380916638E-2</v>
      </c>
      <c r="E119" s="294" t="str" cm="1">
        <f t="array" aca="1" ref="E119" ca="1">_xlfn.IFS(D119&gt;ZPercent,"U",D119&lt;=-ZPercent,"D",TRUE,"Z")</f>
        <v>D</v>
      </c>
      <c r="F119" s="294" t="str">
        <f t="shared" ca="1" si="32"/>
        <v>UD</v>
      </c>
      <c r="G119" s="294" t="str">
        <f t="shared" ca="1" si="33"/>
        <v>DUD</v>
      </c>
      <c r="H119" s="874" t="str">
        <f t="shared" ca="1" si="34"/>
        <v/>
      </c>
      <c r="J119" s="89" vm="403">
        <f ca="1"/>
        <v>45824</v>
      </c>
      <c r="K119" s="89" vm="404">
        <f ca="1"/>
        <v>670.1</v>
      </c>
      <c r="N119" s="874" t="str">
        <f ca="1">IF(F119=[2]Sheet1!O117,"","dif")</f>
        <v>dif</v>
      </c>
      <c r="BD119" s="1457" t="s">
        <v>2773</v>
      </c>
    </row>
    <row r="120" spans="2:97" x14ac:dyDescent="0.3">
      <c r="B120" s="89" vm="401">
        <f ca="1"/>
        <v>45806</v>
      </c>
      <c r="C120" s="89" vm="402">
        <f ca="1"/>
        <v>665.5</v>
      </c>
      <c r="D120" s="1225">
        <f t="shared" ca="1" si="30"/>
        <v>7.112590799031546E-3</v>
      </c>
      <c r="E120" s="294" t="str" cm="1">
        <f t="array" aca="1" ref="E120" ca="1">_xlfn.IFS(D120&gt;ZPercent,"U",D120&lt;=-ZPercent,"D",TRUE,"Z")</f>
        <v>U</v>
      </c>
      <c r="F120" s="294" t="str">
        <f t="shared" ca="1" si="32"/>
        <v>DU</v>
      </c>
      <c r="G120" s="294" t="str">
        <f t="shared" ca="1" si="33"/>
        <v>UDU</v>
      </c>
      <c r="H120" s="874" t="str">
        <f t="shared" ca="1" si="34"/>
        <v/>
      </c>
      <c r="J120" s="89" vm="400">
        <f ca="1"/>
        <v>45825</v>
      </c>
      <c r="K120" s="89" vm="185">
        <f ca="1"/>
        <v>666</v>
      </c>
      <c r="N120" s="874" t="str">
        <f ca="1">IF(F120=[2]Sheet1!O118,"","dif")</f>
        <v>dif</v>
      </c>
      <c r="BD120" s="888">
        <f>MAX(BD122:BD130)</f>
        <v>0.44827586206896552</v>
      </c>
      <c r="BE120" s="888">
        <f t="shared" ref="BE120:BL120" si="57">MAX(BE122:BE130)</f>
        <v>0.26315789473684209</v>
      </c>
      <c r="BF120" s="888">
        <f t="shared" si="57"/>
        <v>0.35</v>
      </c>
      <c r="BG120" s="888">
        <f t="shared" si="57"/>
        <v>0.36</v>
      </c>
      <c r="BH120" s="888">
        <f t="shared" si="57"/>
        <v>0.23333333333333334</v>
      </c>
      <c r="BI120" s="888">
        <f t="shared" si="57"/>
        <v>0.61538461538461542</v>
      </c>
      <c r="BJ120" s="888">
        <f t="shared" si="57"/>
        <v>0.44</v>
      </c>
      <c r="BK120" s="888">
        <f t="shared" si="57"/>
        <v>0.4642857142857143</v>
      </c>
      <c r="BL120" s="888">
        <f t="shared" si="57"/>
        <v>0.35714285714285715</v>
      </c>
    </row>
    <row r="121" spans="2:97" ht="23" thickBot="1" x14ac:dyDescent="0.35">
      <c r="B121" s="89" vm="398">
        <f ca="1"/>
        <v>45805</v>
      </c>
      <c r="C121" s="89" vm="399">
        <f ca="1"/>
        <v>660.8</v>
      </c>
      <c r="D121" s="1225">
        <f t="shared" ca="1" si="30"/>
        <v>-7.9567632487615499E-3</v>
      </c>
      <c r="E121" s="294" t="str" cm="1">
        <f t="array" aca="1" ref="E121" ca="1">_xlfn.IFS(D121&gt;ZPercent,"U",D121&lt;=-ZPercent,"D",TRUE,"Z")</f>
        <v>D</v>
      </c>
      <c r="F121" s="294" t="str">
        <f t="shared" ca="1" si="32"/>
        <v>UD</v>
      </c>
      <c r="G121" s="294" t="str">
        <f t="shared" ca="1" si="33"/>
        <v>UUD</v>
      </c>
      <c r="H121" s="874" t="str">
        <f t="shared" ca="1" si="34"/>
        <v/>
      </c>
      <c r="J121" s="89" vm="396">
        <f ca="1"/>
        <v>45826</v>
      </c>
      <c r="K121" s="89" vm="397">
        <f ca="1"/>
        <v>665</v>
      </c>
      <c r="N121" s="874" t="str">
        <f ca="1">IF(F121=[2]Sheet1!O119,"","dif")</f>
        <v>dif</v>
      </c>
      <c r="BG121" s="1489"/>
    </row>
    <row r="122" spans="2:97" ht="23" thickBot="1" x14ac:dyDescent="0.35">
      <c r="B122" s="89" vm="394">
        <f ca="1"/>
        <v>45804</v>
      </c>
      <c r="C122" s="89" vm="395">
        <f ca="1"/>
        <v>666.1</v>
      </c>
      <c r="D122" s="1225">
        <f t="shared" ca="1" si="30"/>
        <v>1.8501529051987802E-2</v>
      </c>
      <c r="E122" s="294" t="str" cm="1">
        <f t="array" aca="1" ref="E122" ca="1">_xlfn.IFS(D122&gt;ZPercent,"U",D122&lt;=-ZPercent,"D",TRUE,"Z")</f>
        <v>U</v>
      </c>
      <c r="F122" s="294" t="str">
        <f t="shared" ca="1" si="32"/>
        <v>UU</v>
      </c>
      <c r="G122" s="294" t="str">
        <f t="shared" ca="1" si="33"/>
        <v>DUU</v>
      </c>
      <c r="H122" s="874" t="str">
        <f t="shared" ca="1" si="34"/>
        <v/>
      </c>
      <c r="J122" s="89" vm="392">
        <f ca="1"/>
        <v>45827</v>
      </c>
      <c r="K122" s="89" vm="393">
        <f ca="1"/>
        <v>653.1</v>
      </c>
      <c r="N122" s="874" t="str">
        <f ca="1">IF(F122=[2]Sheet1!O120,"","dif")</f>
        <v>dif</v>
      </c>
      <c r="BC122" s="1251">
        <v>9</v>
      </c>
      <c r="BD122" s="1239" t="s">
        <v>2744</v>
      </c>
      <c r="BE122" s="1232" t="s">
        <v>2740</v>
      </c>
      <c r="BF122" s="1232" t="s">
        <v>2742</v>
      </c>
      <c r="BG122" s="1232" t="s">
        <v>2746</v>
      </c>
      <c r="BH122" s="1232" t="s">
        <v>2738</v>
      </c>
      <c r="BI122" s="1232" t="s">
        <v>2739</v>
      </c>
      <c r="BJ122" s="1232" t="s">
        <v>2741</v>
      </c>
      <c r="BK122" s="1232" t="s">
        <v>2745</v>
      </c>
      <c r="BL122" s="1233" t="s">
        <v>2743</v>
      </c>
      <c r="BM122" s="888">
        <f t="shared" ref="BM122:BM131" si="58">SUM(BD122:BL122)</f>
        <v>0</v>
      </c>
    </row>
    <row r="123" spans="2:97" x14ac:dyDescent="0.3">
      <c r="B123" s="89" vm="390">
        <f ca="1"/>
        <v>45803</v>
      </c>
      <c r="C123" s="89" vm="391">
        <f ca="1"/>
        <v>654</v>
      </c>
      <c r="D123" s="1225">
        <f t="shared" ca="1" si="30"/>
        <v>1.7740429505135352E-2</v>
      </c>
      <c r="E123" s="294" t="str" cm="1">
        <f t="array" aca="1" ref="E123" ca="1">_xlfn.IFS(D123&gt;ZPercent,"U",D123&lt;=-ZPercent,"D",TRUE,"Z")</f>
        <v>U</v>
      </c>
      <c r="F123" s="294" t="str">
        <f t="shared" ca="1" si="32"/>
        <v>DU</v>
      </c>
      <c r="G123" s="294" t="str">
        <f t="shared" ca="1" si="33"/>
        <v>DDU</v>
      </c>
      <c r="H123" s="874" t="str">
        <f t="shared" ca="1" si="34"/>
        <v/>
      </c>
      <c r="J123" s="89" vm="388">
        <f ca="1"/>
        <v>45828</v>
      </c>
      <c r="K123" s="89" vm="389">
        <f ca="1"/>
        <v>650.4</v>
      </c>
      <c r="N123" s="874" t="str">
        <f ca="1">IF(F123=[2]Sheet1!O121,"","dif")</f>
        <v>dif</v>
      </c>
      <c r="BC123" s="1234" t="s">
        <v>2744</v>
      </c>
      <c r="BD123" s="1240">
        <v>0</v>
      </c>
      <c r="BE123" s="1226">
        <v>0</v>
      </c>
      <c r="BF123" s="1226">
        <v>0.17857142857142858</v>
      </c>
      <c r="BG123" s="1226">
        <v>0</v>
      </c>
      <c r="BH123" s="1226">
        <v>0</v>
      </c>
      <c r="BI123" s="1226">
        <v>0</v>
      </c>
      <c r="BJ123" s="1226">
        <v>0</v>
      </c>
      <c r="BK123" s="1226">
        <v>0.4642857142857143</v>
      </c>
      <c r="BL123" s="1241">
        <v>0.35714285714285715</v>
      </c>
      <c r="BM123" s="888">
        <f t="shared" si="58"/>
        <v>1</v>
      </c>
      <c r="BN123" s="1486" t="str">
        <f ca="1">IF(MarkCurr=BC123,_xlfn.XLOOKUP(MAX(BD123:BL123),BD123:BL123,BD123:BL123),"")</f>
        <v/>
      </c>
      <c r="BP123" s="874">
        <f ca="1">MATCH(MarkCurr,BC$123:BC$131,0)</f>
        <v>6</v>
      </c>
      <c r="BQ123" s="874">
        <f ca="1">MATCH(RIGHT(MarkCurr,1)&amp;"U",$BD$122:$BL$122,0)</f>
        <v>1</v>
      </c>
    </row>
    <row r="124" spans="2:97" x14ac:dyDescent="0.3">
      <c r="B124" s="89" vm="386">
        <f ca="1"/>
        <v>45800</v>
      </c>
      <c r="C124" s="89" vm="387">
        <f ca="1"/>
        <v>642.6</v>
      </c>
      <c r="D124" s="1225">
        <f t="shared" ca="1" si="30"/>
        <v>-2.1619975639463967E-2</v>
      </c>
      <c r="E124" s="294" t="str" cm="1">
        <f t="array" aca="1" ref="E124" ca="1">_xlfn.IFS(D124&gt;ZPercent,"U",D124&lt;=-ZPercent,"D",TRUE,"Z")</f>
        <v>D</v>
      </c>
      <c r="F124" s="294" t="str">
        <f t="shared" ca="1" si="32"/>
        <v>DD</v>
      </c>
      <c r="G124" s="294" t="str">
        <f t="shared" ca="1" si="33"/>
        <v>UDD</v>
      </c>
      <c r="H124" s="874" t="str">
        <f t="shared" ca="1" si="34"/>
        <v/>
      </c>
      <c r="J124" s="89" vm="384">
        <f ca="1"/>
        <v>45831</v>
      </c>
      <c r="K124" s="89" vm="385">
        <f ca="1"/>
        <v>668.7</v>
      </c>
      <c r="N124" s="874" t="str">
        <f ca="1">IF(F124=[2]Sheet1!O122,"","dif")</f>
        <v>dif</v>
      </c>
      <c r="BC124" s="1234" t="s">
        <v>2740</v>
      </c>
      <c r="BD124" s="1242">
        <v>0.30769230769230771</v>
      </c>
      <c r="BE124" s="1243">
        <v>0</v>
      </c>
      <c r="BF124" s="1243">
        <v>0</v>
      </c>
      <c r="BG124" s="1243">
        <v>0</v>
      </c>
      <c r="BH124" s="1243">
        <v>7.6923076923076927E-2</v>
      </c>
      <c r="BI124" s="1243">
        <v>0.61538461538461542</v>
      </c>
      <c r="BJ124" s="1243">
        <v>0</v>
      </c>
      <c r="BK124" s="1243">
        <v>0</v>
      </c>
      <c r="BL124" s="1244">
        <v>0</v>
      </c>
      <c r="BM124" s="888">
        <f t="shared" si="58"/>
        <v>1</v>
      </c>
      <c r="BN124" s="1487" t="str">
        <f ca="1">IF(MarkCurr=BC124,_xlfn.XLOOKUP(MAX(BD124:BL124),BD124:BL124,BD124:BL124),"")</f>
        <v/>
      </c>
      <c r="BP124" s="874">
        <f ca="1">MATCH(MarkCurr,BC$123:BC$131,0)</f>
        <v>6</v>
      </c>
      <c r="BQ124" s="874">
        <f ca="1">MATCH(RIGHT(MarkCurr,1)&amp;"U",$BD$122:$BL$122,0)</f>
        <v>1</v>
      </c>
    </row>
    <row r="125" spans="2:97" x14ac:dyDescent="0.3">
      <c r="B125" s="89" vm="382">
        <f ca="1"/>
        <v>45799</v>
      </c>
      <c r="C125" s="89" vm="383">
        <f ca="1"/>
        <v>656.8</v>
      </c>
      <c r="D125" s="1225">
        <f t="shared" ca="1" si="30"/>
        <v>-1.1885060929742878E-2</v>
      </c>
      <c r="E125" s="294" t="str" cm="1">
        <f t="array" aca="1" ref="E125" ca="1">_xlfn.IFS(D125&gt;ZPercent,"U",D125&lt;=-ZPercent,"D",TRUE,"Z")</f>
        <v>D</v>
      </c>
      <c r="F125" s="294" t="str">
        <f t="shared" ca="1" si="32"/>
        <v>UD</v>
      </c>
      <c r="G125" s="294" t="str">
        <f t="shared" ca="1" si="33"/>
        <v>ZUD</v>
      </c>
      <c r="H125" s="874" t="str">
        <f t="shared" ca="1" si="34"/>
        <v/>
      </c>
      <c r="J125" s="89" vm="380">
        <f ca="1"/>
        <v>45832</v>
      </c>
      <c r="K125" s="89" vm="381">
        <f ca="1"/>
        <v>691.4</v>
      </c>
      <c r="N125" s="874" t="str">
        <f ca="1">IF(F125=[2]Sheet1!O123,"","dif")</f>
        <v>dif</v>
      </c>
      <c r="BC125" s="1234" t="s">
        <v>2742</v>
      </c>
      <c r="BD125" s="1242">
        <v>0</v>
      </c>
      <c r="BE125" s="1243">
        <v>0.26315789473684209</v>
      </c>
      <c r="BF125" s="1243">
        <v>0</v>
      </c>
      <c r="BG125" s="1243">
        <v>0.31578947368421051</v>
      </c>
      <c r="BH125" s="1243">
        <v>0</v>
      </c>
      <c r="BI125" s="1243">
        <v>0</v>
      </c>
      <c r="BJ125" s="1243">
        <v>0.42105263157894735</v>
      </c>
      <c r="BK125" s="1243">
        <v>0</v>
      </c>
      <c r="BL125" s="1244">
        <v>0</v>
      </c>
      <c r="BM125" s="888">
        <f t="shared" si="58"/>
        <v>1</v>
      </c>
      <c r="BN125" s="1487" t="str">
        <f ca="1">IF(MarkCurr=BC125,_xlfn.XLOOKUP(MAX(BD125:BL125),BD125:BL125,BD125:BL125),"")</f>
        <v/>
      </c>
      <c r="BO125" s="874" t="str">
        <f ca="1">IF(MarkCurr=BC125,_xlfn.XLOOKUP(MAX(BD125:BL125),BD125:BL125,BD125:BL125),"")</f>
        <v/>
      </c>
      <c r="BP125" s="874">
        <f ca="1">MATCH(MarkCurr,BC$123:BC$131,0)</f>
        <v>6</v>
      </c>
      <c r="BQ125" s="874">
        <f ca="1">MATCH(RIGHT(MarkCurr,1)&amp;"U",$BD$122:$BL$122,0)</f>
        <v>1</v>
      </c>
    </row>
    <row r="126" spans="2:97" x14ac:dyDescent="0.3">
      <c r="B126" s="89" vm="378">
        <f ca="1"/>
        <v>45798</v>
      </c>
      <c r="C126" s="89" vm="379">
        <f ca="1"/>
        <v>664.7</v>
      </c>
      <c r="D126" s="1225">
        <f t="shared" ca="1" si="30"/>
        <v>7.1212121212121905E-3</v>
      </c>
      <c r="E126" s="294" t="str" cm="1">
        <f t="array" aca="1" ref="E126" ca="1">_xlfn.IFS(D126&gt;ZPercent,"U",D126&lt;=-ZPercent,"D",TRUE,"Z")</f>
        <v>U</v>
      </c>
      <c r="F126" s="294" t="str">
        <f t="shared" ca="1" si="32"/>
        <v>ZU</v>
      </c>
      <c r="G126" s="294" t="str">
        <f t="shared" ca="1" si="33"/>
        <v>DZU</v>
      </c>
      <c r="H126" s="874" t="str">
        <f t="shared" ca="1" si="34"/>
        <v/>
      </c>
      <c r="J126" s="89" vm="376">
        <f ca="1"/>
        <v>45833</v>
      </c>
      <c r="K126" s="89" vm="377">
        <f ca="1"/>
        <v>694.5</v>
      </c>
      <c r="N126" s="874" t="str">
        <f ca="1">IF(F126=[2]Sheet1!O124,"","dif")</f>
        <v>dif</v>
      </c>
      <c r="BC126" s="1234" t="s">
        <v>2746</v>
      </c>
      <c r="BD126" s="1242">
        <v>0</v>
      </c>
      <c r="BE126" s="1243">
        <v>0</v>
      </c>
      <c r="BF126" s="1243">
        <v>0.35</v>
      </c>
      <c r="BG126" s="1243">
        <v>0</v>
      </c>
      <c r="BH126" s="1243">
        <v>0</v>
      </c>
      <c r="BI126" s="1243">
        <v>0</v>
      </c>
      <c r="BJ126" s="1243">
        <v>0</v>
      </c>
      <c r="BK126" s="1243">
        <v>0.35</v>
      </c>
      <c r="BL126" s="1244">
        <v>0.3</v>
      </c>
      <c r="BM126" s="888">
        <f t="shared" si="58"/>
        <v>1</v>
      </c>
      <c r="BN126" s="1487" t="str">
        <f ca="1">IF(MarkCurr=BC126,_xlfn.XLOOKUP(MAX(BD126:BL126),BD126:BL126,BD126:BL126),"")</f>
        <v/>
      </c>
      <c r="BP126" s="874">
        <f ca="1">MATCH(MarkCurr,BC$123:BC$131,0)</f>
        <v>6</v>
      </c>
      <c r="BQ126" s="874">
        <f ca="1">MATCH(RIGHT(MarkCurr,1)&amp;"U",$BD$122:$BL$122,0)</f>
        <v>1</v>
      </c>
    </row>
    <row r="127" spans="2:97" x14ac:dyDescent="0.3">
      <c r="B127" s="89" vm="374">
        <f ca="1"/>
        <v>45797</v>
      </c>
      <c r="C127" s="89" vm="375">
        <f ca="1"/>
        <v>660</v>
      </c>
      <c r="D127" s="1225">
        <f t="shared" ca="1" si="30"/>
        <v>-3.6231884057970672E-3</v>
      </c>
      <c r="E127" s="294" t="str" cm="1">
        <f t="array" aca="1" ref="E127" ca="1">_xlfn.IFS(D127&gt;ZPercent,"U",D127&lt;=-ZPercent,"D",TRUE,"Z")</f>
        <v>Z</v>
      </c>
      <c r="F127" s="294" t="str">
        <f t="shared" ca="1" si="32"/>
        <v>DZ</v>
      </c>
      <c r="G127" s="294" t="str">
        <f t="shared" ca="1" si="33"/>
        <v>DDZ</v>
      </c>
      <c r="H127" s="874" t="str">
        <f t="shared" ca="1" si="34"/>
        <v/>
      </c>
      <c r="J127" s="89" vm="372">
        <f ca="1"/>
        <v>45834</v>
      </c>
      <c r="K127" s="89" vm="373">
        <f ca="1"/>
        <v>677.4</v>
      </c>
      <c r="N127" s="874" t="str">
        <f ca="1">IF(F127=[2]Sheet1!O125,"","dif")</f>
        <v>dif</v>
      </c>
      <c r="BC127" s="1234" t="s">
        <v>2738</v>
      </c>
      <c r="BD127" s="1242">
        <v>0</v>
      </c>
      <c r="BE127" s="1243">
        <v>0.21428571428571427</v>
      </c>
      <c r="BF127" s="1243">
        <v>0</v>
      </c>
      <c r="BG127" s="1243">
        <v>0.35714285714285715</v>
      </c>
      <c r="BH127" s="1243">
        <v>0</v>
      </c>
      <c r="BI127" s="1243">
        <v>0</v>
      </c>
      <c r="BJ127" s="1243">
        <v>0.42857142857142855</v>
      </c>
      <c r="BK127" s="1243">
        <v>0</v>
      </c>
      <c r="BL127" s="1244">
        <v>0</v>
      </c>
      <c r="BM127" s="888">
        <f t="shared" si="58"/>
        <v>1</v>
      </c>
      <c r="BN127" s="1487" t="str">
        <f ca="1">IF(MarkCurr=BC127,_xlfn.XLOOKUP(MAX(BD127:BL127),BD127:BL127,BD127:BL127),"")</f>
        <v/>
      </c>
      <c r="BP127" s="874">
        <f ca="1">MATCH(MarkCurr,BC$123:BC$131,0)</f>
        <v>6</v>
      </c>
      <c r="BQ127" s="874">
        <f ca="1">MATCH(RIGHT(MarkCurr,1)&amp;"U",$BD$122:$BL$122,0)</f>
        <v>1</v>
      </c>
    </row>
    <row r="128" spans="2:97" x14ac:dyDescent="0.3">
      <c r="B128" s="89" vm="370">
        <f ca="1"/>
        <v>45796</v>
      </c>
      <c r="C128" s="89" vm="371">
        <f ca="1"/>
        <v>662.4</v>
      </c>
      <c r="D128" s="1225">
        <f t="shared" ca="1" si="30"/>
        <v>-8.9766606822262122E-3</v>
      </c>
      <c r="E128" s="294" t="str" cm="1">
        <f t="array" aca="1" ref="E128" ca="1">_xlfn.IFS(D128&gt;ZPercent,"U",D128&lt;=-ZPercent,"D",TRUE,"Z")</f>
        <v>D</v>
      </c>
      <c r="F128" s="294" t="str">
        <f t="shared" ca="1" si="32"/>
        <v>DD</v>
      </c>
      <c r="G128" s="294" t="str">
        <f t="shared" ca="1" si="33"/>
        <v>DDD</v>
      </c>
      <c r="H128" s="874" t="str">
        <f t="shared" ca="1" si="34"/>
        <v/>
      </c>
      <c r="J128" s="89" vm="369">
        <f ca="1"/>
        <v>45835</v>
      </c>
      <c r="K128" s="89" vm="79">
        <f ca="1"/>
        <v>682.5</v>
      </c>
      <c r="N128" s="874" t="str">
        <f ca="1">IF(F128=[2]Sheet1!O126,"","dif")</f>
        <v>dif</v>
      </c>
      <c r="BC128" s="1234" t="s">
        <v>2739</v>
      </c>
      <c r="BD128" s="1242">
        <v>0.36666666666666664</v>
      </c>
      <c r="BE128" s="1243">
        <v>0</v>
      </c>
      <c r="BF128" s="1243">
        <v>0</v>
      </c>
      <c r="BG128" s="1243">
        <v>0</v>
      </c>
      <c r="BH128" s="1243">
        <v>0.23333333333333334</v>
      </c>
      <c r="BI128" s="1243">
        <v>0.4</v>
      </c>
      <c r="BJ128" s="1243">
        <v>0</v>
      </c>
      <c r="BK128" s="1243">
        <v>0</v>
      </c>
      <c r="BL128" s="1244">
        <v>0</v>
      </c>
      <c r="BM128" s="888">
        <f t="shared" si="58"/>
        <v>1</v>
      </c>
      <c r="BN128" s="1487">
        <f ca="1">IF(MarkCurr=BC128,_xlfn.XLOOKUP(MAX(BD128:BL128),BD128:BL128,BD128:BL128),"")</f>
        <v>0.4</v>
      </c>
      <c r="BP128" s="874">
        <f ca="1">MATCH(MarkCurr,BC$123:BC$131,0)</f>
        <v>6</v>
      </c>
      <c r="BQ128" s="874">
        <f ca="1">MATCH(RIGHT(MarkCurr,1)&amp;"U",$BD$122:$BL$122,0)</f>
        <v>1</v>
      </c>
    </row>
    <row r="129" spans="2:69" x14ac:dyDescent="0.3">
      <c r="B129" s="89" vm="367">
        <f ca="1"/>
        <v>45793</v>
      </c>
      <c r="C129" s="89" vm="368">
        <f ca="1"/>
        <v>668.4</v>
      </c>
      <c r="D129" s="1225">
        <f t="shared" ca="1" si="30"/>
        <v>-2.0228671943711619E-2</v>
      </c>
      <c r="E129" s="294" t="str" cm="1">
        <f t="array" aca="1" ref="E129" ca="1">_xlfn.IFS(D129&gt;ZPercent,"U",D129&lt;=-ZPercent,"D",TRUE,"Z")</f>
        <v>D</v>
      </c>
      <c r="F129" s="294" t="str">
        <f t="shared" ca="1" si="32"/>
        <v>DD</v>
      </c>
      <c r="G129" s="294" t="str">
        <f t="shared" ca="1" si="33"/>
        <v>ZDD</v>
      </c>
      <c r="H129" s="874" t="str">
        <f t="shared" ca="1" si="34"/>
        <v/>
      </c>
      <c r="J129" s="89" vm="366">
        <f ca="1"/>
        <v>45838</v>
      </c>
      <c r="K129" s="89" vm="359">
        <f ca="1"/>
        <v>677.6</v>
      </c>
      <c r="N129" s="874" t="str">
        <f ca="1">IF(F129=[2]Sheet1!O127,"","dif")</f>
        <v>dif</v>
      </c>
      <c r="BC129" s="1234" t="s">
        <v>2741</v>
      </c>
      <c r="BD129" s="1242">
        <v>0</v>
      </c>
      <c r="BE129" s="1243">
        <v>0.2</v>
      </c>
      <c r="BF129" s="1243">
        <v>0</v>
      </c>
      <c r="BG129" s="1243">
        <v>0.36</v>
      </c>
      <c r="BH129" s="1243">
        <v>0</v>
      </c>
      <c r="BI129" s="1243">
        <v>0</v>
      </c>
      <c r="BJ129" s="1243">
        <v>0.44</v>
      </c>
      <c r="BK129" s="1243">
        <v>0</v>
      </c>
      <c r="BL129" s="1244">
        <v>0</v>
      </c>
      <c r="BM129" s="888">
        <f t="shared" si="58"/>
        <v>1</v>
      </c>
      <c r="BN129" s="1487" t="str">
        <f ca="1">IF(MarkCurr=BC129,_xlfn.XLOOKUP(MAX(BD129:BL129),BD129:BL129,BD129:BL129),"")</f>
        <v/>
      </c>
      <c r="BP129" s="874">
        <f ca="1">MATCH(MarkCurr,BC$123:BC$131,0)</f>
        <v>6</v>
      </c>
      <c r="BQ129" s="874">
        <f ca="1">MATCH(RIGHT(MarkCurr,1)&amp;"U",$BD$122:$BL$122,0)</f>
        <v>1</v>
      </c>
    </row>
    <row r="130" spans="2:69" x14ac:dyDescent="0.3">
      <c r="B130" s="89" vm="364">
        <f ca="1"/>
        <v>45792</v>
      </c>
      <c r="C130" s="89" vm="365">
        <f ca="1"/>
        <v>682.2</v>
      </c>
      <c r="D130" s="1225">
        <f t="shared" ca="1" si="30"/>
        <v>-6.4083891639964714E-3</v>
      </c>
      <c r="E130" s="294" t="str" cm="1">
        <f t="array" aca="1" ref="E130" ca="1">_xlfn.IFS(D130&gt;ZPercent,"U",D130&lt;=-ZPercent,"D",TRUE,"Z")</f>
        <v>D</v>
      </c>
      <c r="F130" s="294" t="str">
        <f t="shared" ca="1" si="32"/>
        <v>ZD</v>
      </c>
      <c r="G130" s="294" t="str">
        <f t="shared" ca="1" si="33"/>
        <v>UZD</v>
      </c>
      <c r="H130" s="874" t="str">
        <f t="shared" ca="1" si="34"/>
        <v>ZZ</v>
      </c>
      <c r="J130" s="89" vm="362">
        <f ca="1"/>
        <v>45839</v>
      </c>
      <c r="K130" s="89" vm="363">
        <f ca="1"/>
        <v>668.2</v>
      </c>
      <c r="N130" s="874" t="str">
        <f ca="1">IF(F130=[2]Sheet1!O128,"","dif")</f>
        <v>dif</v>
      </c>
      <c r="BC130" s="1234" t="s">
        <v>2745</v>
      </c>
      <c r="BD130" s="1242">
        <v>0.44827586206896552</v>
      </c>
      <c r="BE130" s="1243">
        <v>0</v>
      </c>
      <c r="BF130" s="1243">
        <v>0</v>
      </c>
      <c r="BG130" s="1243">
        <v>0</v>
      </c>
      <c r="BH130" s="1243">
        <v>0.20689655172413793</v>
      </c>
      <c r="BI130" s="1243">
        <v>0.34482758620689657</v>
      </c>
      <c r="BJ130" s="1243">
        <v>0</v>
      </c>
      <c r="BK130" s="1243">
        <v>0</v>
      </c>
      <c r="BL130" s="1244">
        <v>0</v>
      </c>
      <c r="BM130" s="888">
        <f t="shared" si="58"/>
        <v>1</v>
      </c>
      <c r="BN130" s="1487" t="str">
        <f ca="1">IF(MarkCurr=BC130,_xlfn.XLOOKUP(MAX(BD130:BL130),BD130:BL130,BD130:BL130),"")</f>
        <v/>
      </c>
      <c r="BP130" s="874">
        <f ca="1">MATCH(MarkCurr,BC$123:BC$131,0)</f>
        <v>6</v>
      </c>
      <c r="BQ130" s="874">
        <f ca="1">MATCH(RIGHT(MarkCurr,1)&amp;"U",$BD$122:$BL$122,0)</f>
        <v>1</v>
      </c>
    </row>
    <row r="131" spans="2:69" ht="23" thickBot="1" x14ac:dyDescent="0.35">
      <c r="B131" s="89" vm="360">
        <f ca="1"/>
        <v>45791</v>
      </c>
      <c r="C131" s="89" vm="361">
        <f ca="1"/>
        <v>686.6</v>
      </c>
      <c r="D131" s="1225">
        <f t="shared" ca="1" si="30"/>
        <v>4.2416264443469022E-3</v>
      </c>
      <c r="E131" s="294" t="str" cm="1">
        <f t="array" aca="1" ref="E131" ca="1">_xlfn.IFS(D131&gt;ZPercent,"U",D131&lt;=-ZPercent,"D",TRUE,"Z")</f>
        <v>Z</v>
      </c>
      <c r="F131" s="294" t="str">
        <f t="shared" ca="1" si="32"/>
        <v>UZ</v>
      </c>
      <c r="G131" s="294" t="str">
        <f t="shared" ca="1" si="33"/>
        <v>UUZ</v>
      </c>
      <c r="H131" s="874" t="str">
        <f t="shared" ca="1" si="34"/>
        <v/>
      </c>
      <c r="J131" s="89" vm="358">
        <f ca="1"/>
        <v>45840</v>
      </c>
      <c r="K131" s="89" vm="359">
        <f ca="1"/>
        <v>677.6</v>
      </c>
      <c r="N131" s="874" t="str">
        <f ca="1">IF(F131=[2]Sheet1!O129,"","dif")</f>
        <v/>
      </c>
      <c r="BC131" s="1235" t="s">
        <v>2743</v>
      </c>
      <c r="BD131" s="1245">
        <v>0</v>
      </c>
      <c r="BE131" s="1246">
        <v>0</v>
      </c>
      <c r="BF131" s="1246">
        <v>0.25925925925925924</v>
      </c>
      <c r="BG131" s="1246">
        <v>0</v>
      </c>
      <c r="BH131" s="1246">
        <v>0</v>
      </c>
      <c r="BI131" s="1246">
        <v>0</v>
      </c>
      <c r="BJ131" s="1246">
        <v>0</v>
      </c>
      <c r="BK131" s="1246">
        <v>0.33333333333333331</v>
      </c>
      <c r="BL131" s="1247">
        <v>0.40740740740740738</v>
      </c>
      <c r="BM131" s="888">
        <f t="shared" si="58"/>
        <v>1</v>
      </c>
      <c r="BN131" s="1488" t="str">
        <f ca="1">IF(MarkCurr=BC131,_xlfn.XLOOKUP(MAX(BD131:BL131),BD131:BL131,BD131:BL131),"")</f>
        <v/>
      </c>
      <c r="BP131" s="874">
        <f ca="1">MATCH(MarkCurr,BC$123:BC$131,0)</f>
        <v>6</v>
      </c>
      <c r="BQ131" s="874">
        <f ca="1">MATCH(RIGHT(MarkCurr,1)&amp;"U",$BD$122:$BL$122,0)</f>
        <v>1</v>
      </c>
    </row>
    <row r="132" spans="2:69" x14ac:dyDescent="0.3">
      <c r="B132" s="89" vm="356">
        <f ca="1"/>
        <v>45790</v>
      </c>
      <c r="C132" s="89" vm="357">
        <f ca="1"/>
        <v>683.7</v>
      </c>
      <c r="D132" s="1225">
        <f t="shared" ca="1" si="30"/>
        <v>2.519118308592003E-2</v>
      </c>
      <c r="E132" s="294" t="str" cm="1">
        <f t="array" aca="1" ref="E132" ca="1">_xlfn.IFS(D132&gt;ZPercent,"U",D132&lt;=-ZPercent,"D",TRUE,"Z")</f>
        <v>U</v>
      </c>
      <c r="F132" s="294" t="str">
        <f t="shared" ca="1" si="32"/>
        <v>UU</v>
      </c>
      <c r="G132" s="294" t="str">
        <f t="shared" ca="1" si="33"/>
        <v>DUU</v>
      </c>
      <c r="H132" s="874" t="str">
        <f t="shared" ca="1" si="34"/>
        <v/>
      </c>
      <c r="J132" s="89" vm="354">
        <f ca="1"/>
        <v>45841</v>
      </c>
      <c r="K132" s="89" vm="355">
        <f ca="1"/>
        <v>677.1</v>
      </c>
      <c r="N132" s="874" t="str">
        <f ca="1">IF(F132=[2]Sheet1!O130,"","dif")</f>
        <v/>
      </c>
      <c r="BC132" s="1396" t="s">
        <v>2737</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0.15247088767436398</v>
      </c>
      <c r="BE132" s="1208">
        <f ca="1"/>
        <v>0.15603533943409353</v>
      </c>
      <c r="BF132" s="1208">
        <f ca="1"/>
        <v>0.17088595612585664</v>
      </c>
      <c r="BG132" s="1208">
        <f ca="1"/>
        <v>0.17543582270344088</v>
      </c>
      <c r="BH132" s="1208">
        <f ca="1"/>
        <v>9.2415595401182882E-2</v>
      </c>
      <c r="BI132" s="1208">
        <f ca="1"/>
        <v>0.10726621209294597</v>
      </c>
      <c r="BJ132" s="1208">
        <f ca="1"/>
        <v>7.2912647747919973E-2</v>
      </c>
      <c r="BK132" s="1208">
        <f ca="1"/>
        <v>5.8062031056156885E-2</v>
      </c>
      <c r="BL132" s="1208">
        <f ca="1"/>
        <v>1.4515507764039221E-2</v>
      </c>
    </row>
    <row r="133" spans="2:69" x14ac:dyDescent="0.3">
      <c r="B133" s="89" vm="352">
        <f ca="1"/>
        <v>45789</v>
      </c>
      <c r="C133" s="89" vm="353">
        <f ca="1"/>
        <v>666.9</v>
      </c>
      <c r="D133" s="1225">
        <f t="shared" ref="D133:D159" ca="1" si="59">IFERROR((C133-C134)/C134,0)</f>
        <v>6.397574984045952E-2</v>
      </c>
      <c r="E133" s="294" t="str" cm="1">
        <f t="array" aca="1" ref="E133" ca="1">_xlfn.IFS(D133&gt;ZPercent,"U",D133&lt;=-ZPercent,"D",TRUE,"Z")</f>
        <v>U</v>
      </c>
      <c r="F133" s="294" t="str">
        <f t="shared" ca="1" si="32"/>
        <v>DU</v>
      </c>
      <c r="G133" s="294" t="str">
        <f t="shared" ca="1" si="33"/>
        <v>UDU</v>
      </c>
      <c r="H133" s="874" t="str">
        <f t="shared" ca="1" si="34"/>
        <v/>
      </c>
      <c r="J133" s="89" vm="350">
        <f ca="1"/>
        <v>45842</v>
      </c>
      <c r="K133" s="89" vm="351">
        <f ca="1"/>
        <v>659.4</v>
      </c>
      <c r="N133" s="874" t="str">
        <f ca="1">IF(F133=[2]Sheet1!O131,"","dif")</f>
        <v>dif</v>
      </c>
    </row>
    <row r="134" spans="2:69" x14ac:dyDescent="0.3">
      <c r="B134" s="89" vm="348">
        <f ca="1"/>
        <v>45786</v>
      </c>
      <c r="C134" s="89" vm="349">
        <f ca="1"/>
        <v>626.79999999999995</v>
      </c>
      <c r="D134" s="1225">
        <f t="shared" ca="1" si="59"/>
        <v>-5.8683584456781053E-3</v>
      </c>
      <c r="E134" s="294" t="str" cm="1">
        <f t="array" aca="1" ref="E134" ca="1">_xlfn.IFS(D134&gt;ZPercent,"U",D134&lt;=-ZPercent,"D",TRUE,"Z")</f>
        <v>D</v>
      </c>
      <c r="F134" s="294" t="str">
        <f t="shared" ref="F134:F159" ca="1" si="60">_xlfn.CONCAT(E135,E134)</f>
        <v>UD</v>
      </c>
      <c r="G134" s="294" t="str">
        <f t="shared" ref="G134:G159" ca="1" si="61">_xlfn.CONCAT(E136,E135,E134)</f>
        <v>UUD</v>
      </c>
      <c r="H134" s="874" t="str">
        <f t="shared" ref="H134:H197" ca="1" si="62">IF(AND(E134="D",E135="Z"),"ZZ","")</f>
        <v/>
      </c>
      <c r="J134" s="89" vm="346">
        <f ca="1"/>
        <v>45845</v>
      </c>
      <c r="K134" s="89" vm="347">
        <f ca="1"/>
        <v>671.6</v>
      </c>
      <c r="N134" s="874" t="str">
        <f ca="1">IF(F134=[2]Sheet1!O132,"","dif")</f>
        <v>dif</v>
      </c>
    </row>
    <row r="135" spans="2:69" x14ac:dyDescent="0.3">
      <c r="B135" s="89" vm="344">
        <f ca="1"/>
        <v>45785</v>
      </c>
      <c r="C135" s="89" vm="345">
        <f ca="1"/>
        <v>630.5</v>
      </c>
      <c r="D135" s="1225">
        <f t="shared" ca="1" si="59"/>
        <v>4.266578468662139E-2</v>
      </c>
      <c r="E135" s="294" t="str" cm="1">
        <f t="array" aca="1" ref="E135" ca="1">_xlfn.IFS(D135&gt;ZPercent,"U",D135&lt;=-ZPercent,"D",TRUE,"Z")</f>
        <v>U</v>
      </c>
      <c r="F135" s="294" t="str">
        <f t="shared" ca="1" si="60"/>
        <v>UU</v>
      </c>
      <c r="G135" s="294" t="str">
        <f t="shared" ca="1" si="61"/>
        <v>DUU</v>
      </c>
      <c r="H135" s="874" t="str">
        <f t="shared" ca="1" si="62"/>
        <v/>
      </c>
      <c r="J135" s="89" vm="342">
        <f ca="1"/>
        <v>45846</v>
      </c>
      <c r="K135" s="89" vm="343">
        <f ca="1"/>
        <v>678.9</v>
      </c>
      <c r="N135" s="874" t="str">
        <f ca="1">IF(F135=[2]Sheet1!O133,"","dif")</f>
        <v>dif</v>
      </c>
    </row>
    <row r="136" spans="2:69" x14ac:dyDescent="0.3">
      <c r="B136" s="89" vm="340">
        <f ca="1"/>
        <v>45784</v>
      </c>
      <c r="C136" s="89" vm="341">
        <f ca="1"/>
        <v>604.70000000000005</v>
      </c>
      <c r="D136" s="1225">
        <f t="shared" ca="1" si="59"/>
        <v>5.3200332502078892E-3</v>
      </c>
      <c r="E136" s="294" t="str" cm="1">
        <f t="array" aca="1" ref="E136" ca="1">_xlfn.IFS(D136&gt;ZPercent,"U",D136&lt;=-ZPercent,"D",TRUE,"Z")</f>
        <v>U</v>
      </c>
      <c r="F136" s="294" t="str">
        <f t="shared" ca="1" si="60"/>
        <v>DU</v>
      </c>
      <c r="G136" s="294" t="str">
        <f t="shared" ca="1" si="61"/>
        <v>ZDU</v>
      </c>
      <c r="H136" s="874" t="str">
        <f t="shared" ca="1" si="62"/>
        <v/>
      </c>
      <c r="J136" s="89" vm="338">
        <f ca="1"/>
        <v>45847</v>
      </c>
      <c r="K136" s="89" vm="339">
        <f ca="1"/>
        <v>679.8</v>
      </c>
      <c r="N136" s="874" t="str">
        <f ca="1">IF(F136=[2]Sheet1!O134,"","dif")</f>
        <v>dif</v>
      </c>
    </row>
    <row r="137" spans="2:69" x14ac:dyDescent="0.3">
      <c r="B137" s="89" vm="336">
        <f ca="1"/>
        <v>45783</v>
      </c>
      <c r="C137" s="89" vm="337">
        <f ca="1"/>
        <v>601.5</v>
      </c>
      <c r="D137" s="1225">
        <f t="shared" ca="1" si="59"/>
        <v>-8.734344100197685E-3</v>
      </c>
      <c r="E137" s="294" t="str" cm="1">
        <f t="array" aca="1" ref="E137" ca="1">_xlfn.IFS(D137&gt;ZPercent,"U",D137&lt;=-ZPercent,"D",TRUE,"Z")</f>
        <v>D</v>
      </c>
      <c r="F137" s="294" t="str">
        <f t="shared" ca="1" si="60"/>
        <v>ZD</v>
      </c>
      <c r="G137" s="294" t="str">
        <f t="shared" ca="1" si="61"/>
        <v>UZD</v>
      </c>
      <c r="H137" s="874" t="str">
        <f t="shared" ca="1" si="62"/>
        <v>ZZ</v>
      </c>
      <c r="J137" s="89" vm="335">
        <f ca="1"/>
        <v>45848</v>
      </c>
      <c r="K137" s="89" vm="4">
        <f ca="1"/>
        <v>690</v>
      </c>
      <c r="N137" s="874" t="str">
        <f ca="1">IF(F137=[2]Sheet1!O135,"","dif")</f>
        <v>dif</v>
      </c>
    </row>
    <row r="138" spans="2:69" x14ac:dyDescent="0.3">
      <c r="B138" s="89" vm="333">
        <f ca="1"/>
        <v>45782</v>
      </c>
      <c r="C138" s="89" vm="334">
        <f ca="1"/>
        <v>606.79999999999995</v>
      </c>
      <c r="D138" s="1225">
        <f t="shared" ca="1" si="59"/>
        <v>-3.4488421744129131E-3</v>
      </c>
      <c r="E138" s="294" t="str" cm="1">
        <f t="array" aca="1" ref="E138" ca="1">_xlfn.IFS(D138&gt;ZPercent,"U",D138&lt;=-ZPercent,"D",TRUE,"Z")</f>
        <v>Z</v>
      </c>
      <c r="F138" s="294" t="str">
        <f t="shared" ca="1" si="60"/>
        <v>UZ</v>
      </c>
      <c r="G138" s="294" t="str">
        <f t="shared" ca="1" si="61"/>
        <v>ZUZ</v>
      </c>
      <c r="H138" s="874" t="str">
        <f t="shared" ca="1" si="62"/>
        <v/>
      </c>
      <c r="J138" s="89" vm="331">
        <f ca="1"/>
        <v>45849</v>
      </c>
      <c r="K138" s="89" vm="332">
        <f ca="1"/>
        <v>683.9</v>
      </c>
      <c r="N138" s="874" t="str">
        <f ca="1">IF(F138=[2]Sheet1!O136,"","dif")</f>
        <v>dif</v>
      </c>
    </row>
    <row r="139" spans="2:69" x14ac:dyDescent="0.3">
      <c r="B139" s="89" vm="329">
        <f ca="1"/>
        <v>45779</v>
      </c>
      <c r="C139" s="89" vm="330">
        <f ca="1"/>
        <v>608.9</v>
      </c>
      <c r="D139" s="1225">
        <f t="shared" ca="1" si="59"/>
        <v>4.5321888412017126E-2</v>
      </c>
      <c r="E139" s="294" t="str" cm="1">
        <f t="array" aca="1" ref="E139" ca="1">_xlfn.IFS(D139&gt;ZPercent,"U",D139&lt;=-ZPercent,"D",TRUE,"Z")</f>
        <v>U</v>
      </c>
      <c r="F139" s="294" t="str">
        <f t="shared" ca="1" si="60"/>
        <v>ZU</v>
      </c>
      <c r="G139" s="294" t="str">
        <f t="shared" ca="1" si="61"/>
        <v>ZZU</v>
      </c>
      <c r="H139" s="874" t="str">
        <f t="shared" ca="1" si="62"/>
        <v/>
      </c>
      <c r="J139" s="89" vm="327">
        <f ca="1"/>
        <v>45852</v>
      </c>
      <c r="K139" s="89" vm="328">
        <f ca="1"/>
        <v>687.3</v>
      </c>
      <c r="N139" s="874" t="str">
        <f ca="1">IF(F139=[2]Sheet1!O137,"","dif")</f>
        <v>dif</v>
      </c>
    </row>
    <row r="140" spans="2:69" x14ac:dyDescent="0.3">
      <c r="B140" s="89" vm="325">
        <f ca="1"/>
        <v>45777</v>
      </c>
      <c r="C140" s="89" vm="326">
        <f ca="1"/>
        <v>582.5</v>
      </c>
      <c r="D140" s="1225">
        <f t="shared" ca="1" si="59"/>
        <v>-4.2735042735042739E-3</v>
      </c>
      <c r="E140" s="294" t="str" cm="1">
        <f t="array" aca="1" ref="E140" ca="1">_xlfn.IFS(D140&gt;ZPercent,"U",D140&lt;=-ZPercent,"D",TRUE,"Z")</f>
        <v>Z</v>
      </c>
      <c r="F140" s="294" t="str">
        <f t="shared" ca="1" si="60"/>
        <v>ZZ</v>
      </c>
      <c r="G140" s="294" t="str">
        <f t="shared" ca="1" si="61"/>
        <v>DZZ</v>
      </c>
      <c r="H140" s="874" t="str">
        <f t="shared" ca="1" si="62"/>
        <v/>
      </c>
      <c r="J140" s="89" vm="324">
        <f ca="1"/>
        <v>45853</v>
      </c>
      <c r="K140" s="89" vm="99">
        <f ca="1"/>
        <v>706.1</v>
      </c>
      <c r="N140" s="874" t="str">
        <f ca="1">IF(F140=[2]Sheet1!O138,"","dif")</f>
        <v>dif</v>
      </c>
    </row>
    <row r="141" spans="2:69" x14ac:dyDescent="0.3">
      <c r="B141" s="89" vm="322">
        <f ca="1"/>
        <v>45776</v>
      </c>
      <c r="C141" s="89" vm="323">
        <f ca="1"/>
        <v>585</v>
      </c>
      <c r="D141" s="1225">
        <f t="shared" ca="1" si="59"/>
        <v>8.5543199315654401E-4</v>
      </c>
      <c r="E141" s="294" t="str" cm="1">
        <f t="array" aca="1" ref="E141" ca="1">_xlfn.IFS(D141&gt;ZPercent,"U",D141&lt;=-ZPercent,"D",TRUE,"Z")</f>
        <v>Z</v>
      </c>
      <c r="F141" s="294" t="str">
        <f t="shared" ca="1" si="60"/>
        <v>DZ</v>
      </c>
      <c r="G141" s="294" t="str">
        <f t="shared" ca="1" si="61"/>
        <v>ZDZ</v>
      </c>
      <c r="H141" s="874" t="str">
        <f t="shared" ca="1" si="62"/>
        <v/>
      </c>
      <c r="J141" s="89" vm="320">
        <f ca="1"/>
        <v>45854</v>
      </c>
      <c r="K141" s="89" vm="321">
        <f ca="1"/>
        <v>625.79999999999995</v>
      </c>
      <c r="N141" s="874" t="str">
        <f ca="1">IF(F141=[2]Sheet1!O139,"","dif")</f>
        <v>dif</v>
      </c>
    </row>
    <row r="142" spans="2:69" x14ac:dyDescent="0.3">
      <c r="B142" s="89" vm="318">
        <f ca="1"/>
        <v>45775</v>
      </c>
      <c r="C142" s="89" vm="319">
        <f ca="1"/>
        <v>584.5</v>
      </c>
      <c r="D142" s="1225">
        <f t="shared" ca="1" si="59"/>
        <v>-7.4715571404312744E-3</v>
      </c>
      <c r="E142" s="294" t="str" cm="1">
        <f t="array" aca="1" ref="E142" ca="1">_xlfn.IFS(D142&gt;ZPercent,"U",D142&lt;=-ZPercent,"D",TRUE,"Z")</f>
        <v>D</v>
      </c>
      <c r="F142" s="294" t="str">
        <f t="shared" ca="1" si="60"/>
        <v>ZD</v>
      </c>
      <c r="G142" s="294" t="str">
        <f t="shared" ca="1" si="61"/>
        <v>UZD</v>
      </c>
      <c r="H142" s="874" t="str">
        <f t="shared" ca="1" si="62"/>
        <v>ZZ</v>
      </c>
      <c r="J142" s="89" vm="316">
        <f ca="1"/>
        <v>45855</v>
      </c>
      <c r="K142" s="89" vm="317">
        <f ca="1"/>
        <v>650.20000000000005</v>
      </c>
      <c r="N142" s="874" t="str">
        <f ca="1">IF(F142=[2]Sheet1!O140,"","dif")</f>
        <v>dif</v>
      </c>
    </row>
    <row r="143" spans="2:69" x14ac:dyDescent="0.3">
      <c r="B143" s="89" vm="314">
        <f ca="1"/>
        <v>45772</v>
      </c>
      <c r="C143" s="89" vm="315">
        <f ca="1"/>
        <v>588.9</v>
      </c>
      <c r="D143" s="1225">
        <f t="shared" ca="1" si="59"/>
        <v>-4.7321277674498364E-3</v>
      </c>
      <c r="E143" s="294" t="str" cm="1">
        <f t="array" aca="1" ref="E143" ca="1">_xlfn.IFS(D143&gt;ZPercent,"U",D143&lt;=-ZPercent,"D",TRUE,"Z")</f>
        <v>Z</v>
      </c>
      <c r="F143" s="294" t="str">
        <f t="shared" ca="1" si="60"/>
        <v>UZ</v>
      </c>
      <c r="G143" s="294" t="str">
        <f t="shared" ca="1" si="61"/>
        <v>UUZ</v>
      </c>
      <c r="H143" s="874" t="str">
        <f t="shared" ca="1" si="62"/>
        <v/>
      </c>
      <c r="J143" s="89" vm="312">
        <f ca="1"/>
        <v>45856</v>
      </c>
      <c r="K143" s="89" vm="313">
        <f ca="1"/>
        <v>633.5</v>
      </c>
      <c r="N143" s="874" t="str">
        <f ca="1">IF(F143=[2]Sheet1!O141,"","dif")</f>
        <v>dif</v>
      </c>
    </row>
    <row r="144" spans="2:69" x14ac:dyDescent="0.3">
      <c r="B144" s="89" vm="310">
        <f ca="1"/>
        <v>45771</v>
      </c>
      <c r="C144" s="89" vm="311">
        <f ca="1"/>
        <v>591.70000000000005</v>
      </c>
      <c r="D144" s="1225">
        <f t="shared" ca="1" si="59"/>
        <v>1.859184024789132E-2</v>
      </c>
      <c r="E144" s="294" t="str" cm="1">
        <f t="array" aca="1" ref="E144" ca="1">_xlfn.IFS(D144&gt;ZPercent,"U",D144&lt;=-ZPercent,"D",TRUE,"Z")</f>
        <v>U</v>
      </c>
      <c r="F144" s="294" t="str">
        <f t="shared" ca="1" si="60"/>
        <v>UU</v>
      </c>
      <c r="G144" s="294" t="str">
        <f t="shared" ca="1" si="61"/>
        <v>DUU</v>
      </c>
      <c r="H144" s="874" t="str">
        <f t="shared" ca="1" si="62"/>
        <v/>
      </c>
      <c r="J144" s="89" vm="308">
        <f ca="1"/>
        <v>45859</v>
      </c>
      <c r="K144" s="89" vm="309">
        <f ca="1"/>
        <v>624.1</v>
      </c>
      <c r="N144" s="874" t="str">
        <f ca="1">IF(F144=[2]Sheet1!O142,"","dif")</f>
        <v>dif</v>
      </c>
    </row>
    <row r="145" spans="2:64" x14ac:dyDescent="0.3">
      <c r="B145" s="89" vm="306">
        <f ca="1"/>
        <v>45770</v>
      </c>
      <c r="C145" s="89" vm="307">
        <f ca="1"/>
        <v>580.9</v>
      </c>
      <c r="D145" s="1225">
        <f t="shared" ca="1" si="59"/>
        <v>3.5287827481732231E-2</v>
      </c>
      <c r="E145" s="294" t="str" cm="1">
        <f t="array" aca="1" ref="E145" ca="1">_xlfn.IFS(D145&gt;ZPercent,"U",D145&lt;=-ZPercent,"D",TRUE,"Z")</f>
        <v>U</v>
      </c>
      <c r="F145" s="294" t="str">
        <f t="shared" ca="1" si="60"/>
        <v>DU</v>
      </c>
      <c r="G145" s="294" t="str">
        <f t="shared" ca="1" si="61"/>
        <v>DDU</v>
      </c>
      <c r="H145" s="874" t="str">
        <f t="shared" ca="1" si="62"/>
        <v/>
      </c>
      <c r="J145" s="89" vm="305">
        <f ca="1"/>
        <v>45860</v>
      </c>
      <c r="K145" s="89" vm="270">
        <f ca="1"/>
        <v>602.4</v>
      </c>
      <c r="N145" s="874" t="str">
        <f ca="1">IF(F145=[2]Sheet1!O143,"","dif")</f>
        <v>dif</v>
      </c>
    </row>
    <row r="146" spans="2:64" x14ac:dyDescent="0.3">
      <c r="B146" s="89" vm="303">
        <f ca="1"/>
        <v>45769</v>
      </c>
      <c r="C146" s="89" vm="304">
        <f ca="1"/>
        <v>561.1</v>
      </c>
      <c r="D146" s="1225">
        <f t="shared" ca="1" si="59"/>
        <v>-5.494505494505534E-3</v>
      </c>
      <c r="E146" s="294" t="str" cm="1">
        <f t="array" aca="1" ref="E146" ca="1">_xlfn.IFS(D146&gt;ZPercent,"U",D146&lt;=-ZPercent,"D",TRUE,"Z")</f>
        <v>D</v>
      </c>
      <c r="F146" s="294" t="str">
        <f t="shared" ca="1" si="60"/>
        <v>DD</v>
      </c>
      <c r="G146" s="294" t="str">
        <f t="shared" ca="1" si="61"/>
        <v>DDD</v>
      </c>
      <c r="H146" s="874" t="str">
        <f t="shared" ca="1" si="62"/>
        <v/>
      </c>
      <c r="J146" s="89" vm="301">
        <f ca="1"/>
        <v>45861</v>
      </c>
      <c r="K146" s="89" vm="302">
        <f ca="1"/>
        <v>606.6</v>
      </c>
      <c r="N146" s="874" t="str">
        <f ca="1">IF(F146=[2]Sheet1!O144,"","dif")</f>
        <v>dif</v>
      </c>
    </row>
    <row r="147" spans="2:64" x14ac:dyDescent="0.3">
      <c r="B147" s="89" vm="299">
        <f ca="1"/>
        <v>45764</v>
      </c>
      <c r="C147" s="89" vm="300">
        <f ca="1"/>
        <v>564.20000000000005</v>
      </c>
      <c r="D147" s="1225">
        <f t="shared" ca="1" si="59"/>
        <v>-1.7073170731707239E-2</v>
      </c>
      <c r="E147" s="294" t="str" cm="1">
        <f t="array" aca="1" ref="E147" ca="1">_xlfn.IFS(D147&gt;ZPercent,"U",D147&lt;=-ZPercent,"D",TRUE,"Z")</f>
        <v>D</v>
      </c>
      <c r="F147" s="294" t="str">
        <f t="shared" ca="1" si="60"/>
        <v>DD</v>
      </c>
      <c r="G147" s="294" t="str">
        <f t="shared" ca="1" si="61"/>
        <v>UDD</v>
      </c>
      <c r="H147" s="874" t="str">
        <f t="shared" ca="1" si="62"/>
        <v/>
      </c>
      <c r="J147" s="89" vm="297">
        <f ca="1"/>
        <v>45862</v>
      </c>
      <c r="K147" s="89" vm="298">
        <f ca="1"/>
        <v>615.9</v>
      </c>
      <c r="N147" s="874" t="str">
        <f ca="1">IF(F147=[2]Sheet1!O145,"","dif")</f>
        <v/>
      </c>
      <c r="BD147" s="1208"/>
      <c r="BE147" s="1208"/>
      <c r="BF147" s="1208"/>
      <c r="BG147" s="1208"/>
      <c r="BH147" s="1208"/>
      <c r="BI147" s="1208"/>
      <c r="BJ147" s="1208"/>
      <c r="BK147" s="1208"/>
      <c r="BL147" s="1208"/>
    </row>
    <row r="148" spans="2:64" x14ac:dyDescent="0.3">
      <c r="B148" s="89" vm="295">
        <f ca="1"/>
        <v>45763</v>
      </c>
      <c r="C148" s="89" vm="296">
        <f ca="1"/>
        <v>574</v>
      </c>
      <c r="D148" s="1225">
        <f t="shared" ca="1" si="59"/>
        <v>-5.1866534522629633E-2</v>
      </c>
      <c r="E148" s="294" t="str" cm="1">
        <f t="array" aca="1" ref="E148" ca="1">_xlfn.IFS(D148&gt;ZPercent,"U",D148&lt;=-ZPercent,"D",TRUE,"Z")</f>
        <v>D</v>
      </c>
      <c r="F148" s="294" t="str">
        <f t="shared" ca="1" si="60"/>
        <v>UD</v>
      </c>
      <c r="G148" s="294" t="str">
        <f t="shared" ca="1" si="61"/>
        <v>UUD</v>
      </c>
      <c r="H148" s="874" t="str">
        <f t="shared" ca="1" si="62"/>
        <v/>
      </c>
      <c r="J148" s="89" vm="293">
        <f ca="1"/>
        <v>45863</v>
      </c>
      <c r="K148" s="89" vm="294">
        <f ca="1"/>
        <v>604.9</v>
      </c>
      <c r="N148" s="874" t="str">
        <f ca="1">IF(F148=[2]Sheet1!O146,"","dif")</f>
        <v>dif</v>
      </c>
    </row>
    <row r="149" spans="2:64" x14ac:dyDescent="0.3">
      <c r="B149" s="89" vm="291">
        <f ca="1"/>
        <v>45762</v>
      </c>
      <c r="C149" s="89" vm="292">
        <f ca="1"/>
        <v>605.4</v>
      </c>
      <c r="D149" s="1225">
        <f t="shared" ca="1" si="59"/>
        <v>2.6101694915254197E-2</v>
      </c>
      <c r="E149" s="294" t="str" cm="1">
        <f t="array" aca="1" ref="E149" ca="1">_xlfn.IFS(D149&gt;ZPercent,"U",D149&lt;=-ZPercent,"D",TRUE,"Z")</f>
        <v>U</v>
      </c>
      <c r="F149" s="294" t="str">
        <f t="shared" ca="1" si="60"/>
        <v>UU</v>
      </c>
      <c r="G149" s="294" t="str">
        <f t="shared" ca="1" si="61"/>
        <v>ZUU</v>
      </c>
      <c r="H149" s="874" t="str">
        <f t="shared" ca="1" si="62"/>
        <v/>
      </c>
      <c r="J149" s="89" vm="289">
        <f ca="1"/>
        <v>45866</v>
      </c>
      <c r="K149" s="89" vm="290">
        <f ca="1"/>
        <v>628.29999999999995</v>
      </c>
      <c r="N149" s="874" t="str">
        <f ca="1">IF(F149=[2]Sheet1!O147,"","dif")</f>
        <v>dif</v>
      </c>
    </row>
    <row r="150" spans="2:64" x14ac:dyDescent="0.3">
      <c r="B150" s="89" vm="287">
        <f ca="1"/>
        <v>45761</v>
      </c>
      <c r="C150" s="89" vm="288">
        <f ca="1"/>
        <v>590</v>
      </c>
      <c r="D150" s="1225">
        <f t="shared" ca="1" si="59"/>
        <v>2.199896067902312E-2</v>
      </c>
      <c r="E150" s="294" t="str" cm="1">
        <f t="array" aca="1" ref="E150" ca="1">_xlfn.IFS(D150&gt;ZPercent,"U",D150&lt;=-ZPercent,"D",TRUE,"Z")</f>
        <v>U</v>
      </c>
      <c r="F150" s="294" t="str">
        <f t="shared" ca="1" si="60"/>
        <v>ZU</v>
      </c>
      <c r="G150" s="294" t="str">
        <f t="shared" ca="1" si="61"/>
        <v>UZU</v>
      </c>
      <c r="H150" s="874" t="str">
        <f t="shared" ca="1" si="62"/>
        <v/>
      </c>
      <c r="J150" s="89" vm="285">
        <f ca="1"/>
        <v>45867</v>
      </c>
      <c r="K150" s="89" vm="286">
        <f ca="1"/>
        <v>623</v>
      </c>
      <c r="N150" s="874" t="str">
        <f ca="1">IF(F150=[2]Sheet1!O148,"","dif")</f>
        <v>dif</v>
      </c>
    </row>
    <row r="151" spans="2:64" x14ac:dyDescent="0.3">
      <c r="B151" s="89" vm="283">
        <f ca="1"/>
        <v>45758</v>
      </c>
      <c r="C151" s="89" vm="284">
        <f ca="1"/>
        <v>577.29999999999995</v>
      </c>
      <c r="D151" s="1225">
        <f t="shared" ca="1" si="59"/>
        <v>-5.1939058171756962E-4</v>
      </c>
      <c r="E151" s="294" t="str" cm="1">
        <f t="array" aca="1" ref="E151" ca="1">_xlfn.IFS(D151&gt;ZPercent,"U",D151&lt;=-ZPercent,"D",TRUE,"Z")</f>
        <v>Z</v>
      </c>
      <c r="F151" s="294" t="str">
        <f t="shared" ca="1" si="60"/>
        <v>UZ</v>
      </c>
      <c r="G151" s="294" t="str">
        <f t="shared" ca="1" si="61"/>
        <v>DUZ</v>
      </c>
      <c r="H151" s="874" t="str">
        <f t="shared" ca="1" si="62"/>
        <v/>
      </c>
      <c r="J151" s="89" vm="281">
        <f ca="1"/>
        <v>45868</v>
      </c>
      <c r="K151" s="89" vm="282">
        <f ca="1"/>
        <v>627.5</v>
      </c>
      <c r="N151" s="874" t="str">
        <f ca="1">IF(F151=[2]Sheet1!O149,"","dif")</f>
        <v>dif</v>
      </c>
    </row>
    <row r="152" spans="2:64" x14ac:dyDescent="0.3">
      <c r="B152" s="89" vm="279">
        <f ca="1"/>
        <v>45757</v>
      </c>
      <c r="C152" s="89" vm="280">
        <f ca="1"/>
        <v>577.6</v>
      </c>
      <c r="D152" s="1225">
        <f t="shared" ca="1" si="59"/>
        <v>4.2034999097961517E-2</v>
      </c>
      <c r="E152" s="294" t="str" cm="1">
        <f t="array" aca="1" ref="E152" ca="1">_xlfn.IFS(D152&gt;ZPercent,"U",D152&lt;=-ZPercent,"D",TRUE,"Z")</f>
        <v>U</v>
      </c>
      <c r="F152" s="294" t="str">
        <f t="shared" ca="1" si="60"/>
        <v>DU</v>
      </c>
      <c r="G152" s="294" t="str">
        <f t="shared" ca="1" si="61"/>
        <v>UDU</v>
      </c>
      <c r="H152" s="874" t="str">
        <f t="shared" ca="1" si="62"/>
        <v/>
      </c>
      <c r="J152" s="89" vm="277">
        <f ca="1"/>
        <v>45869</v>
      </c>
      <c r="K152" s="89" vm="278">
        <f ca="1"/>
        <v>613.1</v>
      </c>
      <c r="N152" s="874" t="str">
        <f ca="1">IF(F152=[2]Sheet1!O150,"","dif")</f>
        <v>dif</v>
      </c>
    </row>
    <row r="153" spans="2:64" x14ac:dyDescent="0.3">
      <c r="B153" s="89" vm="275">
        <f ca="1"/>
        <v>45756</v>
      </c>
      <c r="C153" s="89" vm="276">
        <f ca="1"/>
        <v>554.29999999999995</v>
      </c>
      <c r="D153" s="1225">
        <f t="shared" ca="1" si="59"/>
        <v>-3.3983966538863715E-2</v>
      </c>
      <c r="E153" s="294" t="str" cm="1">
        <f t="array" aca="1" ref="E153" ca="1">_xlfn.IFS(D153&gt;ZPercent,"U",D153&lt;=-ZPercent,"D",TRUE,"Z")</f>
        <v>D</v>
      </c>
      <c r="F153" s="294" t="str">
        <f t="shared" ca="1" si="60"/>
        <v>UD</v>
      </c>
      <c r="G153" s="294" t="str">
        <f t="shared" ca="1" si="61"/>
        <v>DUD</v>
      </c>
      <c r="H153" s="874" t="str">
        <f t="shared" ca="1" si="62"/>
        <v/>
      </c>
      <c r="J153" s="89" vm="273">
        <f ca="1"/>
        <v>45870</v>
      </c>
      <c r="K153" s="89" vm="274">
        <f ca="1"/>
        <v>595</v>
      </c>
      <c r="N153" s="874" t="str">
        <f ca="1">IF(F153=[2]Sheet1!O151,"","dif")</f>
        <v>dif</v>
      </c>
    </row>
    <row r="154" spans="2:64" x14ac:dyDescent="0.3">
      <c r="B154" s="89" vm="271">
        <f ca="1"/>
        <v>45755</v>
      </c>
      <c r="C154" s="89" vm="272">
        <f ca="1"/>
        <v>573.79999999999995</v>
      </c>
      <c r="D154" s="1225">
        <f t="shared" ca="1" si="59"/>
        <v>4.3272727272727192E-2</v>
      </c>
      <c r="E154" s="294" t="str" cm="1">
        <f t="array" aca="1" ref="E154" ca="1">_xlfn.IFS(D154&gt;ZPercent,"U",D154&lt;=-ZPercent,"D",TRUE,"Z")</f>
        <v>U</v>
      </c>
      <c r="F154" s="294" t="str">
        <f t="shared" ca="1" si="60"/>
        <v>DU</v>
      </c>
      <c r="G154" s="294" t="str">
        <f t="shared" ca="1" si="61"/>
        <v>DDU</v>
      </c>
      <c r="H154" s="874" t="str">
        <f t="shared" ca="1" si="62"/>
        <v/>
      </c>
      <c r="J154" s="89" vm="269">
        <f ca="1"/>
        <v>45873</v>
      </c>
      <c r="K154" s="89" vm="270">
        <f ca="1"/>
        <v>602.4</v>
      </c>
      <c r="N154" s="874" t="str">
        <f ca="1">IF(F154=[2]Sheet1!O152,"","dif")</f>
        <v>dif</v>
      </c>
    </row>
    <row r="155" spans="2:64" x14ac:dyDescent="0.3">
      <c r="B155" s="89" vm="267">
        <f ca="1"/>
        <v>45754</v>
      </c>
      <c r="C155" s="89" vm="268">
        <f ca="1"/>
        <v>550</v>
      </c>
      <c r="D155" s="1225">
        <f t="shared" ca="1" si="59"/>
        <v>-2.49955681616735E-2</v>
      </c>
      <c r="E155" s="294" t="str" cm="1">
        <f t="array" aca="1" ref="E155" ca="1">_xlfn.IFS(D155&gt;ZPercent,"U",D155&lt;=-ZPercent,"D",TRUE,"Z")</f>
        <v>D</v>
      </c>
      <c r="F155" s="294" t="str">
        <f t="shared" ca="1" si="60"/>
        <v>DD</v>
      </c>
      <c r="G155" s="294" t="str">
        <f t="shared" ca="1" si="61"/>
        <v>DDD</v>
      </c>
      <c r="H155" s="874" t="str">
        <f t="shared" ca="1" si="62"/>
        <v/>
      </c>
      <c r="J155" s="89" vm="265">
        <f ca="1"/>
        <v>45874</v>
      </c>
      <c r="K155" s="89" vm="266">
        <f ca="1"/>
        <v>597.1</v>
      </c>
      <c r="N155" s="874" t="str">
        <f ca="1">IF(F155=[2]Sheet1!O153,"","dif")</f>
        <v>dif</v>
      </c>
    </row>
    <row r="156" spans="2:64" x14ac:dyDescent="0.3">
      <c r="B156" s="89" vm="263">
        <f ca="1"/>
        <v>45751</v>
      </c>
      <c r="C156" s="89" vm="264">
        <f ca="1"/>
        <v>564.1</v>
      </c>
      <c r="D156" s="1225">
        <f t="shared" ca="1" si="59"/>
        <v>-2.5228961465353417E-2</v>
      </c>
      <c r="E156" s="294" t="str" cm="1">
        <f t="array" aca="1" ref="E156" ca="1">_xlfn.IFS(D156&gt;ZPercent,"U",D156&lt;=-ZPercent,"D",TRUE,"Z")</f>
        <v>D</v>
      </c>
      <c r="F156" s="294" t="str">
        <f t="shared" ca="1" si="60"/>
        <v>DD</v>
      </c>
      <c r="G156" s="294" t="str">
        <f t="shared" ca="1" si="61"/>
        <v>DDD</v>
      </c>
      <c r="H156" s="874" t="str">
        <f t="shared" ca="1" si="62"/>
        <v/>
      </c>
      <c r="J156" s="89" vm="261">
        <f ca="1"/>
        <v>45875</v>
      </c>
      <c r="K156" s="89" vm="262">
        <f ca="1"/>
        <v>592.9</v>
      </c>
      <c r="N156" s="874" t="str">
        <f ca="1">IF(F156=[2]Sheet1!O154,"","dif")</f>
        <v>dif</v>
      </c>
    </row>
    <row r="157" spans="2:64" x14ac:dyDescent="0.3">
      <c r="B157" s="89" vm="259">
        <f ca="1"/>
        <v>45750</v>
      </c>
      <c r="C157" s="89" vm="260">
        <f ca="1"/>
        <v>578.70000000000005</v>
      </c>
      <c r="D157" s="1225">
        <f t="shared" ca="1" si="59"/>
        <v>-6.1009248742495394E-2</v>
      </c>
      <c r="E157" s="294" t="str" cm="1">
        <f t="array" aca="1" ref="E157" ca="1">_xlfn.IFS(D157&gt;ZPercent,"U",D157&lt;=-ZPercent,"D",TRUE,"Z")</f>
        <v>D</v>
      </c>
      <c r="F157" s="294" t="str">
        <f t="shared" ca="1" si="60"/>
        <v>DD</v>
      </c>
      <c r="G157" s="294" t="str">
        <f t="shared" ca="1" si="61"/>
        <v>UDD</v>
      </c>
      <c r="H157" s="874" t="str">
        <f t="shared" ca="1" si="62"/>
        <v/>
      </c>
      <c r="J157" s="89" vm="257">
        <f ca="1"/>
        <v>45876</v>
      </c>
      <c r="K157" s="89" vm="258">
        <f ca="1"/>
        <v>610.70000000000005</v>
      </c>
      <c r="N157" s="874" t="str">
        <f ca="1">IF(F157=[2]Sheet1!O155,"","dif")</f>
        <v>dif</v>
      </c>
    </row>
    <row r="158" spans="2:64" x14ac:dyDescent="0.3">
      <c r="B158" s="89" vm="255">
        <f ca="1"/>
        <v>45749</v>
      </c>
      <c r="C158" s="89" vm="256">
        <f ca="1"/>
        <v>616.29999999999995</v>
      </c>
      <c r="D158" s="1225">
        <f t="shared" ca="1" si="59"/>
        <v>-5.4865257382605949E-3</v>
      </c>
      <c r="E158" s="294" t="str" cm="1">
        <f t="array" aca="1" ref="E158" ca="1">_xlfn.IFS(D158&gt;ZPercent,"U",D158&lt;=-ZPercent,"D",TRUE,"Z")</f>
        <v>D</v>
      </c>
      <c r="F158" s="294" t="str">
        <f t="shared" ca="1" si="60"/>
        <v>UD</v>
      </c>
      <c r="G158" s="294" t="str">
        <f t="shared" ca="1" si="61"/>
        <v>DUD</v>
      </c>
      <c r="H158" s="874" t="str">
        <f t="shared" ca="1" si="62"/>
        <v/>
      </c>
      <c r="J158" s="89" vm="253">
        <f ca="1"/>
        <v>45877</v>
      </c>
      <c r="K158" s="89" vm="254">
        <f ca="1"/>
        <v>616.9</v>
      </c>
      <c r="N158" s="874" t="str">
        <f ca="1">IF(F158=[2]Sheet1!O156,"","dif")</f>
        <v>dif</v>
      </c>
    </row>
    <row r="159" spans="2:64" x14ac:dyDescent="0.3">
      <c r="B159" s="89" vm="251">
        <f ca="1"/>
        <v>45748</v>
      </c>
      <c r="C159" s="89" vm="252">
        <f ca="1"/>
        <v>619.70000000000005</v>
      </c>
      <c r="D159" s="1225">
        <f t="shared" ca="1" si="59"/>
        <v>2.2607260726072682E-2</v>
      </c>
      <c r="E159" s="294" t="str" cm="1">
        <f t="array" aca="1" ref="E159" ca="1">_xlfn.IFS(D159&gt;ZPercent,"U",D159&lt;=-ZPercent,"D",TRUE,"Z")</f>
        <v>U</v>
      </c>
      <c r="F159" s="294" t="str">
        <f t="shared" ca="1" si="60"/>
        <v>DU</v>
      </c>
      <c r="G159" s="294" t="str">
        <f t="shared" ca="1" si="61"/>
        <v>DDU</v>
      </c>
      <c r="H159" s="874" t="str">
        <f t="shared" ca="1" si="62"/>
        <v/>
      </c>
      <c r="J159" s="89" vm="249">
        <f ca="1"/>
        <v>45880</v>
      </c>
      <c r="K159" s="89" vm="250">
        <f ca="1"/>
        <v>627</v>
      </c>
      <c r="N159" s="874" t="str">
        <f ca="1">IF(F159=[2]Sheet1!O157,"","dif")</f>
        <v>dif</v>
      </c>
    </row>
    <row r="160" spans="2:64" x14ac:dyDescent="0.3">
      <c r="B160" s="89" vm="247">
        <f ca="1"/>
        <v>45747</v>
      </c>
      <c r="C160" s="89" vm="248">
        <f ca="1"/>
        <v>606</v>
      </c>
      <c r="D160" s="1225">
        <f t="shared" ref="D160:D164" ca="1" si="63">IFERROR((C160-C161)/C161,0)</f>
        <v>-3.1329923273657322E-2</v>
      </c>
      <c r="E160" s="294" t="str" cm="1">
        <f t="array" aca="1" ref="E160" ca="1">_xlfn.IFS(D160&gt;ZPercent,"U",D160&lt;=-ZPercent,"D",TRUE,"Z")</f>
        <v>D</v>
      </c>
      <c r="F160" s="294" t="str">
        <f t="shared" ref="F160:F164" ca="1" si="64">_xlfn.CONCAT(E161,E160)</f>
        <v>DD</v>
      </c>
      <c r="G160" s="294" t="str">
        <f t="shared" ref="G160:G164" ca="1" si="65">_xlfn.CONCAT(E162,E161,E160)</f>
        <v>DDD</v>
      </c>
      <c r="H160" s="874" t="str">
        <f t="shared" ca="1" si="62"/>
        <v/>
      </c>
      <c r="J160" s="89" vm="245">
        <f ca="1"/>
        <v>45881</v>
      </c>
      <c r="K160" s="89" vm="246">
        <f ca="1"/>
        <v>633.9</v>
      </c>
      <c r="N160" s="874" t="str">
        <f ca="1">IF(F160=[2]Sheet1!O158,"","dif")</f>
        <v>dif</v>
      </c>
    </row>
    <row r="161" spans="2:14" x14ac:dyDescent="0.3">
      <c r="B161" s="89" vm="243">
        <f ca="1"/>
        <v>45744</v>
      </c>
      <c r="C161" s="89" vm="244">
        <f ca="1"/>
        <v>625.6</v>
      </c>
      <c r="D161" s="1225">
        <f t="shared" ca="1" si="63"/>
        <v>-2.6303501945525255E-2</v>
      </c>
      <c r="E161" s="294" t="str" cm="1">
        <f t="array" aca="1" ref="E161" ca="1">_xlfn.IFS(D161&gt;ZPercent,"U",D161&lt;=-ZPercent,"D",TRUE,"Z")</f>
        <v>D</v>
      </c>
      <c r="F161" s="294" t="str">
        <f t="shared" ca="1" si="64"/>
        <v>DD</v>
      </c>
      <c r="G161" s="294" t="str">
        <f t="shared" ca="1" si="65"/>
        <v>DDD</v>
      </c>
      <c r="H161" s="874" t="str">
        <f t="shared" ca="1" si="62"/>
        <v/>
      </c>
      <c r="J161" s="89" vm="241">
        <f ca="1"/>
        <v>45882</v>
      </c>
      <c r="K161" s="89" vm="242">
        <f ca="1"/>
        <v>640.6</v>
      </c>
      <c r="N161" s="874" t="str">
        <f ca="1">IF(F161=[2]Sheet1!O159,"","dif")</f>
        <v>dif</v>
      </c>
    </row>
    <row r="162" spans="2:14" x14ac:dyDescent="0.3">
      <c r="B162" s="89" vm="239">
        <f ca="1"/>
        <v>45743</v>
      </c>
      <c r="C162" s="89" vm="240">
        <f ca="1"/>
        <v>642.5</v>
      </c>
      <c r="D162" s="1225">
        <f t="shared" ca="1" si="63"/>
        <v>-2.2367620206938596E-2</v>
      </c>
      <c r="E162" s="294" t="str" cm="1">
        <f t="array" aca="1" ref="E162" ca="1">_xlfn.IFS(D162&gt;ZPercent,"U",D162&lt;=-ZPercent,"D",TRUE,"Z")</f>
        <v>D</v>
      </c>
      <c r="F162" s="294" t="str">
        <f t="shared" ca="1" si="64"/>
        <v>DD</v>
      </c>
      <c r="G162" s="294" t="str">
        <f t="shared" ca="1" si="65"/>
        <v>ZDD</v>
      </c>
      <c r="H162" s="874" t="str">
        <f t="shared" ca="1" si="62"/>
        <v/>
      </c>
      <c r="J162" s="89" vm="237">
        <f ca="1"/>
        <v>45883</v>
      </c>
      <c r="K162" s="89" vm="238">
        <f ca="1"/>
        <v>642.9</v>
      </c>
      <c r="N162" s="874" t="str">
        <f ca="1">IF(F162=[2]Sheet1!O160,"","dif")</f>
        <v>dif</v>
      </c>
    </row>
    <row r="163" spans="2:14" x14ac:dyDescent="0.3">
      <c r="B163" s="89" vm="235">
        <f ca="1"/>
        <v>45742</v>
      </c>
      <c r="C163" s="89" vm="236">
        <f ca="1"/>
        <v>657.2</v>
      </c>
      <c r="D163" s="1225">
        <f t="shared" ca="1" si="63"/>
        <v>-2.5937453683118422E-2</v>
      </c>
      <c r="E163" s="294" t="str" cm="1">
        <f t="array" aca="1" ref="E163" ca="1">_xlfn.IFS(D163&gt;ZPercent,"U",D163&lt;=-ZPercent,"D",TRUE,"Z")</f>
        <v>D</v>
      </c>
      <c r="F163" s="294" t="str">
        <f t="shared" ca="1" si="64"/>
        <v>ZD</v>
      </c>
      <c r="G163" s="294" t="str">
        <f t="shared" ca="1" si="65"/>
        <v>UZD</v>
      </c>
      <c r="H163" s="874" t="str">
        <f t="shared" ca="1" si="62"/>
        <v>ZZ</v>
      </c>
      <c r="J163" s="89" vm="233">
        <f ca="1"/>
        <v>45884</v>
      </c>
      <c r="K163" s="89" vm="234">
        <f ca="1"/>
        <v>636.70000000000005</v>
      </c>
      <c r="N163" s="874" t="str">
        <f ca="1">IF(F163=[2]Sheet1!O161,"","dif")</f>
        <v>dif</v>
      </c>
    </row>
    <row r="164" spans="2:14" x14ac:dyDescent="0.3">
      <c r="B164" s="89" vm="231">
        <f ca="1"/>
        <v>45741</v>
      </c>
      <c r="C164" s="89" vm="232">
        <f ca="1"/>
        <v>674.7</v>
      </c>
      <c r="D164" s="1225">
        <f t="shared" ca="1" si="63"/>
        <v>1.4823599169881818E-4</v>
      </c>
      <c r="E164" s="294" t="str" cm="1">
        <f t="array" aca="1" ref="E164" ca="1">_xlfn.IFS(D164&gt;ZPercent,"U",D164&lt;=-ZPercent,"D",TRUE,"Z")</f>
        <v>Z</v>
      </c>
      <c r="F164" s="294" t="str">
        <f t="shared" ca="1" si="64"/>
        <v>UZ</v>
      </c>
      <c r="G164" s="294" t="str">
        <f t="shared" ca="1" si="65"/>
        <v>DUZ</v>
      </c>
      <c r="H164" s="874" t="str">
        <f t="shared" ca="1" si="62"/>
        <v/>
      </c>
      <c r="J164" s="89" vm="229">
        <f ca="1"/>
        <v>45887</v>
      </c>
      <c r="K164" s="89" vm="230">
        <f ca="1"/>
        <v>638.70000000000005</v>
      </c>
      <c r="N164" s="874" t="str">
        <f ca="1">IF(F164=[2]Sheet1!O162,"","dif")</f>
        <v>dif</v>
      </c>
    </row>
    <row r="165" spans="2:14" x14ac:dyDescent="0.3">
      <c r="B165" s="89" vm="227">
        <f ca="1"/>
        <v>45740</v>
      </c>
      <c r="C165" s="89" vm="228">
        <f ca="1"/>
        <v>674.6</v>
      </c>
      <c r="D165" s="1225">
        <f t="shared" ref="D165:D201" ca="1" si="66">IFERROR((C165-C166)/C166,0)</f>
        <v>2.1038292719842554E-2</v>
      </c>
      <c r="E165" s="294" t="str" cm="1">
        <f t="array" aca="1" ref="E165" ca="1">_xlfn.IFS(D165&gt;ZPercent,"U",D165&lt;=-ZPercent,"D",TRUE,"Z")</f>
        <v>U</v>
      </c>
      <c r="F165" s="294" t="str">
        <f t="shared" ref="F165:F201" ca="1" si="67">_xlfn.CONCAT(E166,E165)</f>
        <v>DU</v>
      </c>
      <c r="G165" s="294" t="str">
        <f t="shared" ref="G165:G201" ca="1" si="68">_xlfn.CONCAT(E167,E166,E165)</f>
        <v>ZDU</v>
      </c>
      <c r="H165" s="874" t="str">
        <f t="shared" ca="1" si="62"/>
        <v/>
      </c>
      <c r="J165" s="89" vm="225">
        <f ca="1"/>
        <v>45888</v>
      </c>
      <c r="K165" s="89" vm="226">
        <f ca="1"/>
        <v>642.29999999999995</v>
      </c>
      <c r="N165" s="874" t="str">
        <f ca="1">IF(F165=[2]Sheet1!O163,"","dif")</f>
        <v>dif</v>
      </c>
    </row>
    <row r="166" spans="2:14" x14ac:dyDescent="0.3">
      <c r="B166" s="89" vm="223">
        <f ca="1"/>
        <v>45737</v>
      </c>
      <c r="C166" s="89" vm="224">
        <f ca="1"/>
        <v>660.7</v>
      </c>
      <c r="D166" s="1225">
        <f t="shared" ca="1" si="66"/>
        <v>-1.7546468401486923E-2</v>
      </c>
      <c r="E166" s="294" t="str" cm="1">
        <f t="array" aca="1" ref="E166" ca="1">_xlfn.IFS(D166&gt;ZPercent,"U",D166&lt;=-ZPercent,"D",TRUE,"Z")</f>
        <v>D</v>
      </c>
      <c r="F166" s="294" t="str">
        <f t="shared" ca="1" si="67"/>
        <v>ZD</v>
      </c>
      <c r="G166" s="294" t="str">
        <f t="shared" ca="1" si="68"/>
        <v>UZD</v>
      </c>
      <c r="H166" s="874" t="str">
        <f t="shared" ca="1" si="62"/>
        <v>ZZ</v>
      </c>
      <c r="J166" s="89" vm="221">
        <f ca="1"/>
        <v>45889</v>
      </c>
      <c r="K166" s="89" vm="222">
        <f ca="1"/>
        <v>638.20000000000005</v>
      </c>
      <c r="N166" s="874" t="str">
        <f ca="1">IF(F166=[2]Sheet1!O164,"","dif")</f>
        <v>dif</v>
      </c>
    </row>
    <row r="167" spans="2:14" x14ac:dyDescent="0.3">
      <c r="B167" s="89" vm="219">
        <f ca="1"/>
        <v>45736</v>
      </c>
      <c r="C167" s="89" vm="220">
        <f ca="1"/>
        <v>672.5</v>
      </c>
      <c r="D167" s="1225">
        <f t="shared" ca="1" si="66"/>
        <v>-8.9139800921114655E-4</v>
      </c>
      <c r="E167" s="294" t="str" cm="1">
        <f t="array" aca="1" ref="E167" ca="1">_xlfn.IFS(D167&gt;ZPercent,"U",D167&lt;=-ZPercent,"D",TRUE,"Z")</f>
        <v>Z</v>
      </c>
      <c r="F167" s="294" t="str">
        <f t="shared" ca="1" si="67"/>
        <v>UZ</v>
      </c>
      <c r="G167" s="294" t="str">
        <f t="shared" ca="1" si="68"/>
        <v>UUZ</v>
      </c>
      <c r="H167" s="874" t="str">
        <f t="shared" ca="1" si="62"/>
        <v/>
      </c>
      <c r="J167" s="89" vm="217">
        <f ca="1"/>
        <v>45890</v>
      </c>
      <c r="K167" s="89" vm="218">
        <f ca="1"/>
        <v>634.5</v>
      </c>
      <c r="N167" s="874" t="str">
        <f ca="1">IF(F167=[2]Sheet1!O165,"","dif")</f>
        <v>dif</v>
      </c>
    </row>
    <row r="168" spans="2:14" x14ac:dyDescent="0.3">
      <c r="B168" s="89" vm="215">
        <f ca="1"/>
        <v>45735</v>
      </c>
      <c r="C168" s="89" vm="216">
        <f ca="1"/>
        <v>673.1</v>
      </c>
      <c r="D168" s="1225">
        <f t="shared" ca="1" si="66"/>
        <v>1.081243429944443E-2</v>
      </c>
      <c r="E168" s="294" t="str" cm="1">
        <f t="array" aca="1" ref="E168" ca="1">_xlfn.IFS(D168&gt;ZPercent,"U",D168&lt;=-ZPercent,"D",TRUE,"Z")</f>
        <v>U</v>
      </c>
      <c r="F168" s="294" t="str">
        <f t="shared" ca="1" si="67"/>
        <v>UU</v>
      </c>
      <c r="G168" s="294" t="str">
        <f t="shared" ca="1" si="68"/>
        <v>UUU</v>
      </c>
      <c r="H168" s="874" t="str">
        <f t="shared" ca="1" si="62"/>
        <v/>
      </c>
      <c r="J168" s="89" vm="213">
        <f ca="1"/>
        <v>45891</v>
      </c>
      <c r="K168" s="89" vm="214">
        <f ca="1"/>
        <v>646.20000000000005</v>
      </c>
      <c r="N168" s="874" t="str">
        <f ca="1">IF(F168=[2]Sheet1!O166,"","dif")</f>
        <v>dif</v>
      </c>
    </row>
    <row r="169" spans="2:14" x14ac:dyDescent="0.3">
      <c r="B169" s="89" vm="211">
        <f ca="1"/>
        <v>45734</v>
      </c>
      <c r="C169" s="89" vm="212">
        <f ca="1"/>
        <v>665.9</v>
      </c>
      <c r="D169" s="1225">
        <f t="shared" ca="1" si="66"/>
        <v>6.955995765915656E-3</v>
      </c>
      <c r="E169" s="294" t="str" cm="1">
        <f t="array" aca="1" ref="E169" ca="1">_xlfn.IFS(D169&gt;ZPercent,"U",D169&lt;=-ZPercent,"D",TRUE,"Z")</f>
        <v>U</v>
      </c>
      <c r="F169" s="294" t="str">
        <f t="shared" ca="1" si="67"/>
        <v>UU</v>
      </c>
      <c r="G169" s="294" t="str">
        <f t="shared" ca="1" si="68"/>
        <v>UUU</v>
      </c>
      <c r="H169" s="874" t="str">
        <f t="shared" ca="1" si="62"/>
        <v/>
      </c>
      <c r="J169" s="89" vm="209">
        <f ca="1"/>
        <v>45894</v>
      </c>
      <c r="K169" s="89" vm="210">
        <f ca="1"/>
        <v>646.70000000000005</v>
      </c>
      <c r="N169" s="874" t="str">
        <f ca="1">IF(F169=[2]Sheet1!O167,"","dif")</f>
        <v>dif</v>
      </c>
    </row>
    <row r="170" spans="2:14" x14ac:dyDescent="0.3">
      <c r="B170" s="89" vm="207">
        <f ca="1"/>
        <v>45733</v>
      </c>
      <c r="C170" s="89" vm="208">
        <f ca="1"/>
        <v>661.3</v>
      </c>
      <c r="D170" s="1225">
        <f t="shared" ca="1" si="66"/>
        <v>8.5404910782368587E-3</v>
      </c>
      <c r="E170" s="294" t="str" cm="1">
        <f t="array" aca="1" ref="E170" ca="1">_xlfn.IFS(D170&gt;ZPercent,"U",D170&lt;=-ZPercent,"D",TRUE,"Z")</f>
        <v>U</v>
      </c>
      <c r="F170" s="294" t="str">
        <f t="shared" ca="1" si="67"/>
        <v>UU</v>
      </c>
      <c r="G170" s="294" t="str">
        <f t="shared" ca="1" si="68"/>
        <v>ZUU</v>
      </c>
      <c r="H170" s="874" t="str">
        <f t="shared" ca="1" si="62"/>
        <v/>
      </c>
      <c r="J170" s="89" vm="205">
        <f ca="1"/>
        <v>45895</v>
      </c>
      <c r="K170" s="89" vm="206">
        <f ca="1"/>
        <v>650.6</v>
      </c>
      <c r="N170" s="874" t="str">
        <f ca="1">IF(F170=[2]Sheet1!O168,"","dif")</f>
        <v>dif</v>
      </c>
    </row>
    <row r="171" spans="2:14" x14ac:dyDescent="0.3">
      <c r="B171" s="89" vm="203">
        <f ca="1"/>
        <v>45730</v>
      </c>
      <c r="C171" s="89" vm="204">
        <f ca="1"/>
        <v>655.7</v>
      </c>
      <c r="D171" s="1225">
        <f t="shared" ca="1" si="66"/>
        <v>2.0703611457036222E-2</v>
      </c>
      <c r="E171" s="294" t="str" cm="1">
        <f t="array" aca="1" ref="E171" ca="1">_xlfn.IFS(D171&gt;ZPercent,"U",D171&lt;=-ZPercent,"D",TRUE,"Z")</f>
        <v>U</v>
      </c>
      <c r="F171" s="294" t="str">
        <f t="shared" ca="1" si="67"/>
        <v>ZU</v>
      </c>
      <c r="G171" s="294" t="str">
        <f t="shared" ca="1" si="68"/>
        <v>UZU</v>
      </c>
      <c r="H171" s="874" t="str">
        <f t="shared" ca="1" si="62"/>
        <v/>
      </c>
      <c r="J171" s="89" vm="202">
        <f ca="1"/>
        <v>45896</v>
      </c>
      <c r="K171" s="89" vm="175">
        <f ca="1"/>
        <v>660.2</v>
      </c>
      <c r="N171" s="874" t="str">
        <f ca="1">IF(F171=[2]Sheet1!O169,"","dif")</f>
        <v>dif</v>
      </c>
    </row>
    <row r="172" spans="2:14" x14ac:dyDescent="0.3">
      <c r="B172" s="89" vm="200">
        <f ca="1"/>
        <v>45729</v>
      </c>
      <c r="C172" s="89" vm="201">
        <f ca="1"/>
        <v>642.4</v>
      </c>
      <c r="D172" s="1225">
        <f t="shared" ca="1" si="66"/>
        <v>-4.8024786986832265E-3</v>
      </c>
      <c r="E172" s="294" t="str" cm="1">
        <f t="array" aca="1" ref="E172" ca="1">_xlfn.IFS(D172&gt;ZPercent,"U",D172&lt;=-ZPercent,"D",TRUE,"Z")</f>
        <v>Z</v>
      </c>
      <c r="F172" s="294" t="str">
        <f t="shared" ca="1" si="67"/>
        <v>UZ</v>
      </c>
      <c r="G172" s="294" t="str">
        <f t="shared" ca="1" si="68"/>
        <v>DUZ</v>
      </c>
      <c r="H172" s="874" t="str">
        <f t="shared" ca="1" si="62"/>
        <v/>
      </c>
      <c r="J172" s="89" vm="198">
        <f ca="1"/>
        <v>45897</v>
      </c>
      <c r="K172" s="89" vm="199">
        <f ca="1"/>
        <v>654.29999999999995</v>
      </c>
      <c r="N172" s="874" t="str">
        <f ca="1">IF(F172=[2]Sheet1!O170,"","dif")</f>
        <v>dif</v>
      </c>
    </row>
    <row r="173" spans="2:14" x14ac:dyDescent="0.3">
      <c r="B173" s="89" vm="196">
        <f ca="1"/>
        <v>45728</v>
      </c>
      <c r="C173" s="89" vm="197">
        <f ca="1"/>
        <v>645.5</v>
      </c>
      <c r="D173" s="1225">
        <f t="shared" ca="1" si="66"/>
        <v>2.1360759493670885E-2</v>
      </c>
      <c r="E173" s="294" t="str" cm="1">
        <f t="array" aca="1" ref="E173" ca="1">_xlfn.IFS(D173&gt;ZPercent,"U",D173&lt;=-ZPercent,"D",TRUE,"Z")</f>
        <v>U</v>
      </c>
      <c r="F173" s="294" t="str">
        <f t="shared" ca="1" si="67"/>
        <v>DU</v>
      </c>
      <c r="G173" s="294" t="str">
        <f t="shared" ca="1" si="68"/>
        <v>DDU</v>
      </c>
      <c r="H173" s="874" t="str">
        <f t="shared" ca="1" si="62"/>
        <v/>
      </c>
      <c r="J173" s="89" vm="194">
        <f ca="1"/>
        <v>45898</v>
      </c>
      <c r="K173" s="89" vm="195">
        <f ca="1"/>
        <v>636.6</v>
      </c>
      <c r="N173" s="874" t="str">
        <f ca="1">IF(F173=[2]Sheet1!O171,"","dif")</f>
        <v>dif</v>
      </c>
    </row>
    <row r="174" spans="2:14" x14ac:dyDescent="0.3">
      <c r="B174" s="89" vm="192">
        <f ca="1"/>
        <v>45727</v>
      </c>
      <c r="C174" s="89" vm="193">
        <f ca="1"/>
        <v>632</v>
      </c>
      <c r="D174" s="1225">
        <f t="shared" ca="1" si="66"/>
        <v>-1.0954616588419406E-2</v>
      </c>
      <c r="E174" s="294" t="str" cm="1">
        <f t="array" aca="1" ref="E174" ca="1">_xlfn.IFS(D174&gt;ZPercent,"U",D174&lt;=-ZPercent,"D",TRUE,"Z")</f>
        <v>D</v>
      </c>
      <c r="F174" s="294" t="str">
        <f t="shared" ca="1" si="67"/>
        <v>DD</v>
      </c>
      <c r="G174" s="294" t="str">
        <f t="shared" ca="1" si="68"/>
        <v>DDD</v>
      </c>
      <c r="H174" s="874" t="str">
        <f t="shared" ca="1" si="62"/>
        <v/>
      </c>
      <c r="J174" s="89" vm="190">
        <f ca="1"/>
        <v>45901</v>
      </c>
      <c r="K174" s="89" vm="191">
        <f ca="1"/>
        <v>636.1</v>
      </c>
      <c r="N174" s="874" t="str">
        <f ca="1">IF(F174=[2]Sheet1!O172,"","dif")</f>
        <v>dif</v>
      </c>
    </row>
    <row r="175" spans="2:14" x14ac:dyDescent="0.3">
      <c r="B175" s="89" vm="188">
        <f ca="1"/>
        <v>45726</v>
      </c>
      <c r="C175" s="89" vm="189">
        <f ca="1"/>
        <v>639</v>
      </c>
      <c r="D175" s="1225">
        <f t="shared" ca="1" si="66"/>
        <v>-4.0540540540540543E-2</v>
      </c>
      <c r="E175" s="294" t="str" cm="1">
        <f t="array" aca="1" ref="E175" ca="1">_xlfn.IFS(D175&gt;ZPercent,"U",D175&lt;=-ZPercent,"D",TRUE,"Z")</f>
        <v>D</v>
      </c>
      <c r="F175" s="294" t="str">
        <f t="shared" ca="1" si="67"/>
        <v>DD</v>
      </c>
      <c r="G175" s="294" t="str">
        <f t="shared" ca="1" si="68"/>
        <v>ZDD</v>
      </c>
      <c r="H175" s="874" t="str">
        <f t="shared" ca="1" si="62"/>
        <v/>
      </c>
      <c r="J175" s="89" vm="186">
        <f ca="1"/>
        <v>45902</v>
      </c>
      <c r="K175" s="89" vm="187">
        <f ca="1"/>
        <v>617.20000000000005</v>
      </c>
      <c r="N175" s="874" t="str">
        <f ca="1">IF(F175=[2]Sheet1!O173,"","dif")</f>
        <v>dif</v>
      </c>
    </row>
    <row r="176" spans="2:14" x14ac:dyDescent="0.3">
      <c r="B176" s="89" vm="184">
        <f ca="1"/>
        <v>45723</v>
      </c>
      <c r="C176" s="89" vm="185">
        <f ca="1"/>
        <v>666</v>
      </c>
      <c r="D176" s="1225">
        <f t="shared" ca="1" si="66"/>
        <v>-5.9701492537313433E-3</v>
      </c>
      <c r="E176" s="294" t="str" cm="1">
        <f t="array" aca="1" ref="E176" ca="1">_xlfn.IFS(D176&gt;ZPercent,"U",D176&lt;=-ZPercent,"D",TRUE,"Z")</f>
        <v>D</v>
      </c>
      <c r="F176" s="294" t="str">
        <f t="shared" ca="1" si="67"/>
        <v>ZD</v>
      </c>
      <c r="G176" s="294" t="str">
        <f t="shared" ca="1" si="68"/>
        <v>UZD</v>
      </c>
      <c r="H176" s="874" t="str">
        <f t="shared" ca="1" si="62"/>
        <v>ZZ</v>
      </c>
      <c r="J176" s="89" vm="182">
        <f ca="1"/>
        <v>45903</v>
      </c>
      <c r="K176" s="89" vm="183">
        <f ca="1"/>
        <v>625.29999999999995</v>
      </c>
      <c r="N176" s="874" t="str">
        <f ca="1">IF(F176=[2]Sheet1!O174,"","dif")</f>
        <v>dif</v>
      </c>
    </row>
    <row r="177" spans="2:14" x14ac:dyDescent="0.3">
      <c r="B177" s="89" vm="180">
        <f ca="1"/>
        <v>45722</v>
      </c>
      <c r="C177" s="89" vm="181">
        <f ca="1"/>
        <v>670</v>
      </c>
      <c r="D177" s="1225">
        <f t="shared" ca="1" si="66"/>
        <v>-4.0136762301175048E-3</v>
      </c>
      <c r="E177" s="294" t="str" cm="1">
        <f t="array" aca="1" ref="E177" ca="1">_xlfn.IFS(D177&gt;ZPercent,"U",D177&lt;=-ZPercent,"D",TRUE,"Z")</f>
        <v>Z</v>
      </c>
      <c r="F177" s="294" t="str">
        <f t="shared" ca="1" si="67"/>
        <v>UZ</v>
      </c>
      <c r="G177" s="294" t="str">
        <f t="shared" ca="1" si="68"/>
        <v>DUZ</v>
      </c>
      <c r="H177" s="874" t="str">
        <f t="shared" ca="1" si="62"/>
        <v/>
      </c>
      <c r="J177" s="89" vm="178">
        <f ca="1"/>
        <v>45904</v>
      </c>
      <c r="K177" s="89" vm="179">
        <f ca="1"/>
        <v>647.6</v>
      </c>
      <c r="N177" s="874" t="str">
        <f ca="1">IF(F177=[2]Sheet1!O175,"","dif")</f>
        <v>dif</v>
      </c>
    </row>
    <row r="178" spans="2:14" x14ac:dyDescent="0.3">
      <c r="B178" s="89" vm="176">
        <f ca="1"/>
        <v>45721</v>
      </c>
      <c r="C178" s="89" vm="177">
        <f ca="1"/>
        <v>672.7</v>
      </c>
      <c r="D178" s="1225">
        <f t="shared" ca="1" si="66"/>
        <v>1.8470855412566305E-2</v>
      </c>
      <c r="E178" s="294" t="str" cm="1">
        <f t="array" aca="1" ref="E178" ca="1">_xlfn.IFS(D178&gt;ZPercent,"U",D178&lt;=-ZPercent,"D",TRUE,"Z")</f>
        <v>U</v>
      </c>
      <c r="F178" s="294" t="str">
        <f t="shared" ca="1" si="67"/>
        <v>DU</v>
      </c>
      <c r="G178" s="294" t="str">
        <f t="shared" ca="1" si="68"/>
        <v>UDU</v>
      </c>
      <c r="H178" s="874" t="str">
        <f t="shared" ca="1" si="62"/>
        <v/>
      </c>
      <c r="J178" s="89" vm="174">
        <f ca="1"/>
        <v>45905</v>
      </c>
      <c r="K178" s="89" vm="175">
        <f ca="1"/>
        <v>660.2</v>
      </c>
      <c r="N178" s="874" t="str">
        <f ca="1">IF(F178=[2]Sheet1!O176,"","dif")</f>
        <v>dif</v>
      </c>
    </row>
    <row r="179" spans="2:14" x14ac:dyDescent="0.3">
      <c r="B179" s="89" vm="172">
        <f ca="1"/>
        <v>45720</v>
      </c>
      <c r="C179" s="89" vm="173">
        <f ca="1"/>
        <v>660.5</v>
      </c>
      <c r="D179" s="1225">
        <f t="shared" ca="1" si="66"/>
        <v>-4.3169636389975313E-2</v>
      </c>
      <c r="E179" s="294" t="str" cm="1">
        <f t="array" aca="1" ref="E179" ca="1">_xlfn.IFS(D179&gt;ZPercent,"U",D179&lt;=-ZPercent,"D",TRUE,"Z")</f>
        <v>D</v>
      </c>
      <c r="F179" s="294" t="str">
        <f t="shared" ca="1" si="67"/>
        <v>UD</v>
      </c>
      <c r="G179" s="294" t="str">
        <f t="shared" ca="1" si="68"/>
        <v>DUD</v>
      </c>
      <c r="H179" s="874" t="str">
        <f t="shared" ca="1" si="62"/>
        <v/>
      </c>
      <c r="J179" s="89" vm="170">
        <f ca="1"/>
        <v>45908</v>
      </c>
      <c r="K179" s="89" vm="171">
        <f ca="1"/>
        <v>676.6</v>
      </c>
      <c r="N179" s="874" t="str">
        <f ca="1">IF(F179=[2]Sheet1!O177,"","dif")</f>
        <v>dif</v>
      </c>
    </row>
    <row r="180" spans="2:14" x14ac:dyDescent="0.3">
      <c r="B180" s="89" vm="168">
        <f ca="1"/>
        <v>45719</v>
      </c>
      <c r="C180" s="89" vm="169">
        <f ca="1"/>
        <v>690.3</v>
      </c>
      <c r="D180" s="1225">
        <f t="shared" ca="1" si="66"/>
        <v>1.7241379310344727E-2</v>
      </c>
      <c r="E180" s="294" t="str" cm="1">
        <f t="array" aca="1" ref="E180" ca="1">_xlfn.IFS(D180&gt;ZPercent,"U",D180&lt;=-ZPercent,"D",TRUE,"Z")</f>
        <v>U</v>
      </c>
      <c r="F180" s="294" t="str">
        <f t="shared" ca="1" si="67"/>
        <v>DU</v>
      </c>
      <c r="G180" s="294" t="str">
        <f t="shared" ca="1" si="68"/>
        <v>DDU</v>
      </c>
      <c r="H180" s="874" t="str">
        <f t="shared" ca="1" si="62"/>
        <v/>
      </c>
      <c r="J180" s="89" vm="166">
        <f ca="1"/>
        <v>45909</v>
      </c>
      <c r="K180" s="89" vm="167">
        <f ca="1"/>
        <v>683.2</v>
      </c>
      <c r="N180" s="874" t="str">
        <f ca="1">IF(F180=[2]Sheet1!O178,"","dif")</f>
        <v>dif</v>
      </c>
    </row>
    <row r="181" spans="2:14" x14ac:dyDescent="0.3">
      <c r="B181" s="89" vm="164">
        <f ca="1"/>
        <v>45716</v>
      </c>
      <c r="C181" s="89" vm="165">
        <f ca="1"/>
        <v>678.6</v>
      </c>
      <c r="D181" s="1225">
        <f t="shared" ca="1" si="66"/>
        <v>-2.9323415820340436E-2</v>
      </c>
      <c r="E181" s="294" t="str" cm="1">
        <f t="array" aca="1" ref="E181" ca="1">_xlfn.IFS(D181&gt;ZPercent,"U",D181&lt;=-ZPercent,"D",TRUE,"Z")</f>
        <v>D</v>
      </c>
      <c r="F181" s="294" t="str">
        <f t="shared" ca="1" si="67"/>
        <v>DD</v>
      </c>
      <c r="G181" s="294" t="str">
        <f t="shared" ca="1" si="68"/>
        <v>UDD</v>
      </c>
      <c r="H181" s="874" t="str">
        <f t="shared" ca="1" si="62"/>
        <v/>
      </c>
      <c r="J181" s="89" vm="162">
        <f ca="1"/>
        <v>45910</v>
      </c>
      <c r="K181" s="89" vm="163">
        <f ca="1"/>
        <v>680.2</v>
      </c>
      <c r="N181" s="874" t="str">
        <f ca="1">IF(F181=[2]Sheet1!O179,"","dif")</f>
        <v>dif</v>
      </c>
    </row>
    <row r="182" spans="2:14" x14ac:dyDescent="0.3">
      <c r="B182" s="89" vm="160">
        <f ca="1"/>
        <v>45715</v>
      </c>
      <c r="C182" s="89" vm="161">
        <f ca="1"/>
        <v>699.1</v>
      </c>
      <c r="D182" s="1225">
        <f t="shared" ca="1" si="66"/>
        <v>-2.1553533939818022E-2</v>
      </c>
      <c r="E182" s="294" t="str" cm="1">
        <f t="array" aca="1" ref="E182" ca="1">_xlfn.IFS(D182&gt;ZPercent,"U",D182&lt;=-ZPercent,"D",TRUE,"Z")</f>
        <v>D</v>
      </c>
      <c r="F182" s="294" t="str">
        <f t="shared" ca="1" si="67"/>
        <v>UD</v>
      </c>
      <c r="G182" s="294" t="str">
        <f t="shared" ca="1" si="68"/>
        <v>DUD</v>
      </c>
      <c r="H182" s="874" t="str">
        <f t="shared" ca="1" si="62"/>
        <v/>
      </c>
      <c r="J182" s="89" vm="158">
        <f ca="1"/>
        <v>45911</v>
      </c>
      <c r="K182" s="89" vm="159">
        <f ca="1"/>
        <v>686</v>
      </c>
      <c r="N182" s="874" t="str">
        <f ca="1">IF(F182=[2]Sheet1!O180,"","dif")</f>
        <v>dif</v>
      </c>
    </row>
    <row r="183" spans="2:14" x14ac:dyDescent="0.3">
      <c r="B183" s="89" vm="156">
        <f ca="1"/>
        <v>45714</v>
      </c>
      <c r="C183" s="89" vm="157">
        <f ca="1"/>
        <v>714.5</v>
      </c>
      <c r="D183" s="1225">
        <f t="shared" ca="1" si="66"/>
        <v>2.393235884207516E-2</v>
      </c>
      <c r="E183" s="294" t="str" cm="1">
        <f t="array" aca="1" ref="E183" ca="1">_xlfn.IFS(D183&gt;ZPercent,"U",D183&lt;=-ZPercent,"D",TRUE,"Z")</f>
        <v>U</v>
      </c>
      <c r="F183" s="294" t="str">
        <f t="shared" ca="1" si="67"/>
        <v>DU</v>
      </c>
      <c r="G183" s="294" t="str">
        <f t="shared" ca="1" si="68"/>
        <v>ZDU</v>
      </c>
      <c r="H183" s="874" t="str">
        <f t="shared" ca="1" si="62"/>
        <v/>
      </c>
      <c r="J183" s="89" vm="154">
        <f ca="1"/>
        <v>45912</v>
      </c>
      <c r="K183" s="89" vm="155">
        <f ca="1"/>
        <v>689.8</v>
      </c>
      <c r="N183" s="874" t="str">
        <f ca="1">IF(F183=[2]Sheet1!O181,"","dif")</f>
        <v>dif</v>
      </c>
    </row>
    <row r="184" spans="2:14" x14ac:dyDescent="0.3">
      <c r="B184" s="89" vm="152">
        <f ca="1"/>
        <v>45713</v>
      </c>
      <c r="C184" s="89" vm="153">
        <f ca="1"/>
        <v>697.8</v>
      </c>
      <c r="D184" s="1225">
        <f t="shared" ca="1" si="66"/>
        <v>-2.2004204625087662E-2</v>
      </c>
      <c r="E184" s="294" t="str" cm="1">
        <f t="array" aca="1" ref="E184" ca="1">_xlfn.IFS(D184&gt;ZPercent,"U",D184&lt;=-ZPercent,"D",TRUE,"Z")</f>
        <v>D</v>
      </c>
      <c r="F184" s="294" t="str">
        <f t="shared" ca="1" si="67"/>
        <v>ZD</v>
      </c>
      <c r="G184" s="294" t="str">
        <f t="shared" ca="1" si="68"/>
        <v>ZZD</v>
      </c>
      <c r="H184" s="874" t="str">
        <f t="shared" ca="1" si="62"/>
        <v>ZZ</v>
      </c>
      <c r="J184" s="89" vm="150">
        <f ca="1"/>
        <v>45915</v>
      </c>
      <c r="K184" s="89" vm="151">
        <f ca="1"/>
        <v>729.4</v>
      </c>
      <c r="N184" s="874" t="str">
        <f ca="1">IF(F184=[2]Sheet1!O182,"","dif")</f>
        <v>dif</v>
      </c>
    </row>
    <row r="185" spans="2:14" x14ac:dyDescent="0.3">
      <c r="B185" s="89" vm="148">
        <f ca="1"/>
        <v>45712</v>
      </c>
      <c r="C185" s="89" vm="149">
        <f ca="1"/>
        <v>713.5</v>
      </c>
      <c r="D185" s="1225">
        <f t="shared" ca="1" si="66"/>
        <v>4.7880580199971511E-3</v>
      </c>
      <c r="E185" s="294" t="str" cm="1">
        <f t="array" aca="1" ref="E185" ca="1">_xlfn.IFS(D185&gt;ZPercent,"U",D185&lt;=-ZPercent,"D",TRUE,"Z")</f>
        <v>Z</v>
      </c>
      <c r="F185" s="294" t="str">
        <f t="shared" ca="1" si="67"/>
        <v>ZZ</v>
      </c>
      <c r="G185" s="294" t="str">
        <f t="shared" ca="1" si="68"/>
        <v>DZZ</v>
      </c>
      <c r="H185" s="874" t="str">
        <f t="shared" ca="1" si="62"/>
        <v/>
      </c>
      <c r="J185" s="89" vm="146">
        <f ca="1"/>
        <v>45916</v>
      </c>
      <c r="K185" s="89" vm="147">
        <f ca="1"/>
        <v>732.9</v>
      </c>
      <c r="N185" s="874" t="str">
        <f ca="1">IF(F185=[2]Sheet1!O183,"","dif")</f>
        <v/>
      </c>
    </row>
    <row r="186" spans="2:14" x14ac:dyDescent="0.3">
      <c r="B186" s="89" vm="144">
        <f ca="1"/>
        <v>45709</v>
      </c>
      <c r="C186" s="89" vm="145">
        <f ca="1"/>
        <v>710.1</v>
      </c>
      <c r="D186" s="1225">
        <f t="shared" ca="1" si="66"/>
        <v>2.8172982110162765E-4</v>
      </c>
      <c r="E186" s="294" t="str" cm="1">
        <f t="array" aca="1" ref="E186" ca="1">_xlfn.IFS(D186&gt;ZPercent,"U",D186&lt;=-ZPercent,"D",TRUE,"Z")</f>
        <v>Z</v>
      </c>
      <c r="F186" s="294" t="str">
        <f t="shared" ca="1" si="67"/>
        <v>DZ</v>
      </c>
      <c r="G186" s="294" t="str">
        <f t="shared" ca="1" si="68"/>
        <v>ZDZ</v>
      </c>
      <c r="H186" s="874" t="str">
        <f t="shared" ca="1" si="62"/>
        <v/>
      </c>
      <c r="J186" s="89" vm="142">
        <f ca="1"/>
        <v>45917</v>
      </c>
      <c r="K186" s="89" vm="143">
        <f ca="1"/>
        <v>737</v>
      </c>
      <c r="N186" s="874" t="str">
        <f ca="1">IF(F186=[2]Sheet1!O184,"","dif")</f>
        <v>dif</v>
      </c>
    </row>
    <row r="187" spans="2:14" x14ac:dyDescent="0.3">
      <c r="B187" s="89" vm="141">
        <f ca="1"/>
        <v>45708</v>
      </c>
      <c r="C187" s="89" vm="91">
        <f ca="1"/>
        <v>709.9</v>
      </c>
      <c r="D187" s="1225">
        <f t="shared" ca="1" si="66"/>
        <v>-1.059233449477355E-2</v>
      </c>
      <c r="E187" s="294" t="str" cm="1">
        <f t="array" aca="1" ref="E187" ca="1">_xlfn.IFS(D187&gt;ZPercent,"U",D187&lt;=-ZPercent,"D",TRUE,"Z")</f>
        <v>D</v>
      </c>
      <c r="F187" s="294" t="str">
        <f t="shared" ca="1" si="67"/>
        <v>ZD</v>
      </c>
      <c r="G187" s="294" t="str">
        <f t="shared" ca="1" si="68"/>
        <v>DZD</v>
      </c>
      <c r="H187" s="874" t="str">
        <f t="shared" ca="1" si="62"/>
        <v>ZZ</v>
      </c>
      <c r="J187" s="89" vm="139">
        <f ca="1"/>
        <v>45918</v>
      </c>
      <c r="K187" s="89" vm="140">
        <f ca="1"/>
        <v>794</v>
      </c>
      <c r="N187" s="874" t="str">
        <f ca="1">IF(F187=[2]Sheet1!O185,"","dif")</f>
        <v>dif</v>
      </c>
    </row>
    <row r="188" spans="2:14" x14ac:dyDescent="0.3">
      <c r="B188" s="89" vm="137">
        <f ca="1"/>
        <v>45707</v>
      </c>
      <c r="C188" s="89" vm="138">
        <f ca="1"/>
        <v>717.5</v>
      </c>
      <c r="D188" s="1225">
        <f t="shared" ca="1" si="66"/>
        <v>1.8151354370286993E-3</v>
      </c>
      <c r="E188" s="294" t="str" cm="1">
        <f t="array" aca="1" ref="E188" ca="1">_xlfn.IFS(D188&gt;ZPercent,"U",D188&lt;=-ZPercent,"D",TRUE,"Z")</f>
        <v>Z</v>
      </c>
      <c r="F188" s="294" t="str">
        <f t="shared" ca="1" si="67"/>
        <v>DZ</v>
      </c>
      <c r="G188" s="294" t="str">
        <f t="shared" ca="1" si="68"/>
        <v>DDZ</v>
      </c>
      <c r="H188" s="874" t="str">
        <f t="shared" ca="1" si="62"/>
        <v/>
      </c>
      <c r="J188" s="89" vm="135">
        <f ca="1"/>
        <v>45919</v>
      </c>
      <c r="K188" s="89" vm="136">
        <f ca="1"/>
        <v>793.7</v>
      </c>
      <c r="N188" s="874" t="str">
        <f ca="1">IF(F188=[2]Sheet1!O186,"","dif")</f>
        <v>dif</v>
      </c>
    </row>
    <row r="189" spans="2:14" x14ac:dyDescent="0.3">
      <c r="B189" s="89" vm="133">
        <f ca="1"/>
        <v>45706</v>
      </c>
      <c r="C189" s="89" vm="134">
        <f ca="1"/>
        <v>716.2</v>
      </c>
      <c r="D189" s="1225">
        <f t="shared" ca="1" si="66"/>
        <v>-1.5938444627644835E-2</v>
      </c>
      <c r="E189" s="294" t="str" cm="1">
        <f t="array" aca="1" ref="E189" ca="1">_xlfn.IFS(D189&gt;ZPercent,"U",D189&lt;=-ZPercent,"D",TRUE,"Z")</f>
        <v>D</v>
      </c>
      <c r="F189" s="294" t="str">
        <f t="shared" ca="1" si="67"/>
        <v>DD</v>
      </c>
      <c r="G189" s="294" t="str">
        <f t="shared" ca="1" si="68"/>
        <v>DDD</v>
      </c>
      <c r="H189" s="874" t="str">
        <f t="shared" ca="1" si="62"/>
        <v/>
      </c>
      <c r="J189" s="89" vm="131">
        <f ca="1"/>
        <v>45922</v>
      </c>
      <c r="K189" s="89" vm="132">
        <f ca="1"/>
        <v>810.8</v>
      </c>
      <c r="N189" s="874" t="str">
        <f ca="1">IF(F189=[2]Sheet1!O187,"","dif")</f>
        <v>dif</v>
      </c>
    </row>
    <row r="190" spans="2:14" x14ac:dyDescent="0.3">
      <c r="B190" s="89" vm="129">
        <f ca="1"/>
        <v>45705</v>
      </c>
      <c r="C190" s="89" vm="130">
        <f ca="1"/>
        <v>727.8</v>
      </c>
      <c r="D190" s="1225">
        <f t="shared" ca="1" si="66"/>
        <v>-6.0092870800329016E-3</v>
      </c>
      <c r="E190" s="294" t="str" cm="1">
        <f t="array" aca="1" ref="E190" ca="1">_xlfn.IFS(D190&gt;ZPercent,"U",D190&lt;=-ZPercent,"D",TRUE,"Z")</f>
        <v>D</v>
      </c>
      <c r="F190" s="294" t="str">
        <f t="shared" ca="1" si="67"/>
        <v>DD</v>
      </c>
      <c r="G190" s="294" t="str">
        <f t="shared" ca="1" si="68"/>
        <v>UDD</v>
      </c>
      <c r="H190" s="874" t="str">
        <f t="shared" ca="1" si="62"/>
        <v/>
      </c>
      <c r="J190" s="89" vm="127">
        <f ca="1"/>
        <v>45923</v>
      </c>
      <c r="K190" s="89" vm="128">
        <f ca="1"/>
        <v>819.8</v>
      </c>
      <c r="N190" s="874" t="str">
        <f ca="1">IF(F190=[2]Sheet1!O188,"","dif")</f>
        <v>dif</v>
      </c>
    </row>
    <row r="191" spans="2:14" x14ac:dyDescent="0.3">
      <c r="B191" s="89" vm="125">
        <f ca="1"/>
        <v>45702</v>
      </c>
      <c r="C191" s="89" vm="126">
        <f ca="1"/>
        <v>732.2</v>
      </c>
      <c r="D191" s="1225">
        <f t="shared" ca="1" si="66"/>
        <v>-7.7246239327821275E-3</v>
      </c>
      <c r="E191" s="294" t="str" cm="1">
        <f t="array" aca="1" ref="E191" ca="1">_xlfn.IFS(D191&gt;ZPercent,"U",D191&lt;=-ZPercent,"D",TRUE,"Z")</f>
        <v>D</v>
      </c>
      <c r="F191" s="294" t="str">
        <f t="shared" ca="1" si="67"/>
        <v>UD</v>
      </c>
      <c r="G191" s="294" t="str">
        <f t="shared" ca="1" si="68"/>
        <v>DUD</v>
      </c>
      <c r="H191" s="874" t="str">
        <f t="shared" ca="1" si="62"/>
        <v/>
      </c>
      <c r="J191" s="89" vm="123">
        <f ca="1"/>
        <v>45924</v>
      </c>
      <c r="K191" s="89" vm="124">
        <f ca="1"/>
        <v>808</v>
      </c>
      <c r="N191" s="874" t="str">
        <f ca="1">IF(F191=[2]Sheet1!O189,"","dif")</f>
        <v/>
      </c>
    </row>
    <row r="192" spans="2:14" x14ac:dyDescent="0.3">
      <c r="B192" s="89" vm="121">
        <f ca="1"/>
        <v>45701</v>
      </c>
      <c r="C192" s="89" vm="122">
        <f ca="1"/>
        <v>737.9</v>
      </c>
      <c r="D192" s="1225">
        <f t="shared" ca="1" si="66"/>
        <v>2.7143652561247216E-2</v>
      </c>
      <c r="E192" s="294" t="str" cm="1">
        <f t="array" aca="1" ref="E192" ca="1">_xlfn.IFS(D192&gt;ZPercent,"U",D192&lt;=-ZPercent,"D",TRUE,"Z")</f>
        <v>U</v>
      </c>
      <c r="F192" s="294" t="str">
        <f t="shared" ca="1" si="67"/>
        <v>DU</v>
      </c>
      <c r="G192" s="294" t="str">
        <f t="shared" ca="1" si="68"/>
        <v>UDU</v>
      </c>
      <c r="H192" s="874" t="str">
        <f t="shared" ca="1" si="62"/>
        <v/>
      </c>
      <c r="J192" s="89" vm="119">
        <f ca="1"/>
        <v>45925</v>
      </c>
      <c r="K192" s="89" vm="120">
        <f ca="1"/>
        <v>811.7</v>
      </c>
      <c r="N192" s="874" t="str">
        <f ca="1">IF(F192=[2]Sheet1!O190,"","dif")</f>
        <v/>
      </c>
    </row>
    <row r="193" spans="2:14" x14ac:dyDescent="0.3">
      <c r="B193" s="89" vm="117">
        <f ca="1"/>
        <v>45700</v>
      </c>
      <c r="C193" s="89" vm="118">
        <f ca="1"/>
        <v>718.4</v>
      </c>
      <c r="D193" s="1225">
        <f t="shared" ca="1" si="66"/>
        <v>-7.1862907683803833E-3</v>
      </c>
      <c r="E193" s="294" t="str" cm="1">
        <f t="array" aca="1" ref="E193" ca="1">_xlfn.IFS(D193&gt;ZPercent,"U",D193&lt;=-ZPercent,"D",TRUE,"Z")</f>
        <v>D</v>
      </c>
      <c r="F193" s="294" t="str">
        <f t="shared" ca="1" si="67"/>
        <v>UD</v>
      </c>
      <c r="G193" s="294" t="str">
        <f t="shared" ca="1" si="68"/>
        <v>UUD</v>
      </c>
      <c r="H193" s="874" t="str">
        <f t="shared" ca="1" si="62"/>
        <v/>
      </c>
      <c r="J193" s="89" vm="115">
        <f ca="1"/>
        <v>45926</v>
      </c>
      <c r="K193" s="89" vm="116">
        <f ca="1"/>
        <v>812.8</v>
      </c>
      <c r="N193" s="874" t="str">
        <f ca="1">IF(F193=[2]Sheet1!O191,"","dif")</f>
        <v/>
      </c>
    </row>
    <row r="194" spans="2:14" x14ac:dyDescent="0.3">
      <c r="B194" s="89" vm="113">
        <f ca="1"/>
        <v>45699</v>
      </c>
      <c r="C194" s="89" vm="114">
        <f ca="1"/>
        <v>723.6</v>
      </c>
      <c r="D194" s="1225">
        <f t="shared" ca="1" si="66"/>
        <v>9.2050209205021237E-3</v>
      </c>
      <c r="E194" s="294" t="str" cm="1">
        <f t="array" aca="1" ref="E194" ca="1">_xlfn.IFS(D194&gt;ZPercent,"U",D194&lt;=-ZPercent,"D",TRUE,"Z")</f>
        <v>U</v>
      </c>
      <c r="F194" s="294" t="str">
        <f t="shared" ca="1" si="67"/>
        <v>UU</v>
      </c>
      <c r="G194" s="294" t="str">
        <f t="shared" ca="1" si="68"/>
        <v>DUU</v>
      </c>
      <c r="H194" s="874" t="str">
        <f t="shared" ca="1" si="62"/>
        <v/>
      </c>
      <c r="J194" s="89" vm="111">
        <f ca="1"/>
        <v>45929</v>
      </c>
      <c r="K194" s="89" vm="112">
        <f ca="1"/>
        <v>825.5</v>
      </c>
      <c r="N194" s="874" t="str">
        <f ca="1">IF(F194=[2]Sheet1!O192,"","dif")</f>
        <v>dif</v>
      </c>
    </row>
    <row r="195" spans="2:14" x14ac:dyDescent="0.3">
      <c r="B195" s="89" vm="109">
        <f ca="1"/>
        <v>45698</v>
      </c>
      <c r="C195" s="89" vm="110">
        <f ca="1"/>
        <v>717</v>
      </c>
      <c r="D195" s="1225">
        <f t="shared" ca="1" si="66"/>
        <v>1.9914651493598862E-2</v>
      </c>
      <c r="E195" s="294" t="str" cm="1">
        <f t="array" aca="1" ref="E195" ca="1">_xlfn.IFS(D195&gt;ZPercent,"U",D195&lt;=-ZPercent,"D",TRUE,"Z")</f>
        <v>U</v>
      </c>
      <c r="F195" s="294" t="str">
        <f t="shared" ca="1" si="67"/>
        <v>DU</v>
      </c>
      <c r="G195" s="294" t="str">
        <f t="shared" ca="1" si="68"/>
        <v>UDU</v>
      </c>
      <c r="H195" s="874" t="str">
        <f t="shared" ca="1" si="62"/>
        <v/>
      </c>
      <c r="J195" s="89" vm="107">
        <f ca="1"/>
        <v>45930</v>
      </c>
      <c r="K195" s="89" vm="108">
        <f ca="1"/>
        <v>828.1</v>
      </c>
      <c r="N195" s="874" t="str">
        <f ca="1">IF(F195=[2]Sheet1!O193,"","dif")</f>
        <v>dif</v>
      </c>
    </row>
    <row r="196" spans="2:14" x14ac:dyDescent="0.3">
      <c r="B196" s="89" vm="105">
        <f ca="1"/>
        <v>45695</v>
      </c>
      <c r="C196" s="89" vm="106">
        <f ca="1"/>
        <v>703</v>
      </c>
      <c r="D196" s="1225">
        <f t="shared" ca="1" si="66"/>
        <v>-1.7195582273172035E-2</v>
      </c>
      <c r="E196" s="294" t="str" cm="1">
        <f t="array" aca="1" ref="E196" ca="1">_xlfn.IFS(D196&gt;ZPercent,"U",D196&lt;=-ZPercent,"D",TRUE,"Z")</f>
        <v>D</v>
      </c>
      <c r="F196" s="294" t="str">
        <f t="shared" ca="1" si="67"/>
        <v>UD</v>
      </c>
      <c r="G196" s="294" t="str">
        <f t="shared" ca="1" si="68"/>
        <v>DUD</v>
      </c>
      <c r="H196" s="874" t="str">
        <f t="shared" ca="1" si="62"/>
        <v/>
      </c>
      <c r="J196" s="89" vm="103">
        <f ca="1"/>
        <v>45931</v>
      </c>
      <c r="K196" s="89" vm="104">
        <f ca="1"/>
        <v>841.4</v>
      </c>
      <c r="N196" s="874" t="str">
        <f ca="1">IF(F196=[2]Sheet1!O194,"","dif")</f>
        <v>dif</v>
      </c>
    </row>
    <row r="197" spans="2:14" x14ac:dyDescent="0.3">
      <c r="B197" s="89" vm="102">
        <f ca="1"/>
        <v>45694</v>
      </c>
      <c r="C197" s="89" vm="63">
        <f ca="1"/>
        <v>715.3</v>
      </c>
      <c r="D197" s="1225">
        <f t="shared" ca="1" si="66"/>
        <v>1.3029315960911956E-2</v>
      </c>
      <c r="E197" s="294" t="str" cm="1">
        <f t="array" aca="1" ref="E197" ca="1">_xlfn.IFS(D197&gt;ZPercent,"U",D197&lt;=-ZPercent,"D",TRUE,"Z")</f>
        <v>U</v>
      </c>
      <c r="F197" s="294" t="str">
        <f t="shared" ca="1" si="67"/>
        <v>DU</v>
      </c>
      <c r="G197" s="294" t="str">
        <f t="shared" ca="1" si="68"/>
        <v>ZDU</v>
      </c>
      <c r="H197" s="874" t="str">
        <f t="shared" ca="1" si="62"/>
        <v/>
      </c>
      <c r="J197" s="89" vm="100">
        <f ca="1"/>
        <v>45932</v>
      </c>
      <c r="K197" s="89" vm="101">
        <f ca="1"/>
        <v>877.6</v>
      </c>
      <c r="N197" s="874" t="str">
        <f ca="1">IF(F197=[2]Sheet1!O195,"","dif")</f>
        <v>dif</v>
      </c>
    </row>
    <row r="198" spans="2:14" x14ac:dyDescent="0.3">
      <c r="B198" s="89" vm="98">
        <f ca="1"/>
        <v>45693</v>
      </c>
      <c r="C198" s="89" vm="99">
        <f ca="1"/>
        <v>706.1</v>
      </c>
      <c r="D198" s="1225">
        <f t="shared" ca="1" si="66"/>
        <v>-8.8433464345872466E-3</v>
      </c>
      <c r="E198" s="294" t="str" cm="1">
        <f t="array" aca="1" ref="E198" ca="1">_xlfn.IFS(D198&gt;ZPercent,"U",D198&lt;=-ZPercent,"D",TRUE,"Z")</f>
        <v>D</v>
      </c>
      <c r="F198" s="294" t="str">
        <f t="shared" ca="1" si="67"/>
        <v>ZD</v>
      </c>
      <c r="G198" s="294" t="str">
        <f t="shared" ca="1" si="68"/>
        <v>DZD</v>
      </c>
      <c r="H198" s="874" t="str">
        <f t="shared" ref="H198:H212" ca="1" si="69">IF(AND(E198="D",E199="Z"),"ZZ","")</f>
        <v>ZZ</v>
      </c>
      <c r="J198" s="89" vm="96">
        <f ca="1"/>
        <v>45933</v>
      </c>
      <c r="K198" s="89" vm="97">
        <f ca="1"/>
        <v>880.1</v>
      </c>
      <c r="N198" s="874" t="str">
        <f ca="1">IF(F198=[2]Sheet1!O196,"","dif")</f>
        <v>dif</v>
      </c>
    </row>
    <row r="199" spans="2:14" x14ac:dyDescent="0.3">
      <c r="B199" s="89" vm="94">
        <f ca="1"/>
        <v>45692</v>
      </c>
      <c r="C199" s="89" vm="95">
        <f ca="1"/>
        <v>712.4</v>
      </c>
      <c r="D199" s="1225">
        <f t="shared" ca="1" si="66"/>
        <v>3.5216227637695453E-3</v>
      </c>
      <c r="E199" s="294" t="str" cm="1">
        <f t="array" aca="1" ref="E199" ca="1">_xlfn.IFS(D199&gt;ZPercent,"U",D199&lt;=-ZPercent,"D",TRUE,"Z")</f>
        <v>Z</v>
      </c>
      <c r="F199" s="294" t="str">
        <f t="shared" ca="1" si="67"/>
        <v>DZ</v>
      </c>
      <c r="G199" s="294" t="str">
        <f t="shared" ca="1" si="68"/>
        <v>UDZ</v>
      </c>
      <c r="H199" s="874" t="str">
        <f t="shared" ca="1" si="69"/>
        <v/>
      </c>
      <c r="J199" s="89" vm="92">
        <f ca="1"/>
        <v>45936</v>
      </c>
      <c r="K199" s="89" vm="93">
        <f ca="1"/>
        <v>897.3</v>
      </c>
      <c r="N199" s="874" t="str">
        <f ca="1">IF(F199=[2]Sheet1!O197,"","dif")</f>
        <v>dif</v>
      </c>
    </row>
    <row r="200" spans="2:14" x14ac:dyDescent="0.3">
      <c r="B200" s="89" vm="90">
        <f ca="1"/>
        <v>45691</v>
      </c>
      <c r="C200" s="89" vm="91">
        <f ca="1"/>
        <v>709.9</v>
      </c>
      <c r="D200" s="1225">
        <f t="shared" ca="1" si="66"/>
        <v>-1.7711360177113694E-2</v>
      </c>
      <c r="E200" s="294" t="str" cm="1">
        <f t="array" aca="1" ref="E200" ca="1">_xlfn.IFS(D200&gt;ZPercent,"U",D200&lt;=-ZPercent,"D",TRUE,"Z")</f>
        <v>D</v>
      </c>
      <c r="F200" s="294" t="str">
        <f t="shared" ca="1" si="67"/>
        <v>UD</v>
      </c>
      <c r="G200" s="294" t="str">
        <f t="shared" ca="1" si="68"/>
        <v>UUD</v>
      </c>
      <c r="H200" s="874" t="str">
        <f t="shared" ca="1" si="69"/>
        <v/>
      </c>
      <c r="J200" s="89" vm="88">
        <f ca="1"/>
        <v>45937</v>
      </c>
      <c r="K200" s="89" vm="89">
        <f ca="1"/>
        <v>874.8</v>
      </c>
      <c r="N200" s="874" t="str">
        <f ca="1">IF(F200=[2]Sheet1!O198,"","dif")</f>
        <v>dif</v>
      </c>
    </row>
    <row r="201" spans="2:14" x14ac:dyDescent="0.3">
      <c r="B201" s="89" vm="86">
        <f ca="1"/>
        <v>45688</v>
      </c>
      <c r="C201" s="89" vm="87">
        <f ca="1"/>
        <v>722.7</v>
      </c>
      <c r="D201" s="1225">
        <f t="shared" ca="1" si="66"/>
        <v>2.2640441488609025E-2</v>
      </c>
      <c r="E201" s="294" t="str" cm="1">
        <f t="array" aca="1" ref="E201" ca="1">_xlfn.IFS(D201&gt;ZPercent,"U",D201&lt;=-ZPercent,"D",TRUE,"Z")</f>
        <v>U</v>
      </c>
      <c r="F201" s="294" t="str">
        <f t="shared" ca="1" si="67"/>
        <v>UU</v>
      </c>
      <c r="G201" s="294" t="str">
        <f t="shared" ca="1" si="68"/>
        <v>UUU</v>
      </c>
      <c r="H201" s="874" t="str">
        <f t="shared" ca="1" si="69"/>
        <v/>
      </c>
      <c r="J201" s="89" vm="84">
        <f ca="1"/>
        <v>45938</v>
      </c>
      <c r="K201" s="89" vm="85">
        <f ca="1"/>
        <v>851.8</v>
      </c>
      <c r="N201" s="874" t="str">
        <f ca="1">IF(F201=[2]Sheet1!O199,"","dif")</f>
        <v>dif</v>
      </c>
    </row>
    <row r="202" spans="2:14" x14ac:dyDescent="0.3">
      <c r="B202" s="1394" vm="82">
        <f ca="1"/>
        <v>45687</v>
      </c>
      <c r="C202" s="1395" vm="83">
        <f ca="1"/>
        <v>706.7</v>
      </c>
      <c r="D202" s="1225">
        <f t="shared" ref="D202:D212" ca="1" si="70">IFERROR((C202-C203)/C203,0)</f>
        <v>3.5457875457875522E-2</v>
      </c>
      <c r="E202" s="294" t="str" cm="1">
        <f t="array" aca="1" ref="E202" ca="1">_xlfn.IFS(D202&gt;ZPercent,"U",D202&lt;=-ZPercent,"D",TRUE,"Z")</f>
        <v>U</v>
      </c>
      <c r="F202" s="294" t="str">
        <f t="shared" ref="F202:F212" ca="1" si="71">_xlfn.CONCAT(E203,E202)</f>
        <v>UU</v>
      </c>
      <c r="G202" s="294" t="str">
        <f t="shared" ref="G202:G212" ca="1" si="72">_xlfn.CONCAT(E204,E203,E202)</f>
        <v>DUU</v>
      </c>
      <c r="H202" s="874" t="str">
        <f t="shared" ca="1" si="69"/>
        <v/>
      </c>
      <c r="J202" s="89" vm="80">
        <f ca="1"/>
        <v>45939</v>
      </c>
      <c r="K202" s="89" vm="81">
        <f ca="1"/>
        <v>849.8</v>
      </c>
      <c r="N202" s="874" t="str">
        <f ca="1">IF(F202=[2]Sheet1!O200,"","dif")</f>
        <v>dif</v>
      </c>
    </row>
    <row r="203" spans="2:14" x14ac:dyDescent="0.3">
      <c r="B203" s="1394" vm="78">
        <f ca="1"/>
        <v>45686</v>
      </c>
      <c r="C203" s="1395" vm="79">
        <f ca="1"/>
        <v>682.5</v>
      </c>
      <c r="D203" s="1225">
        <f t="shared" ca="1" si="70"/>
        <v>5.5521187751314531E-2</v>
      </c>
      <c r="E203" s="294" t="str" cm="1">
        <f t="array" aca="1" ref="E203" ca="1">_xlfn.IFS(D203&gt;ZPercent,"U",D203&lt;=-ZPercent,"D",TRUE,"Z")</f>
        <v>U</v>
      </c>
      <c r="F203" s="294" t="str">
        <f t="shared" ca="1" si="71"/>
        <v>DU</v>
      </c>
      <c r="G203" s="294" t="str">
        <f t="shared" ca="1" si="72"/>
        <v>DDU</v>
      </c>
      <c r="H203" s="874" t="str">
        <f t="shared" ca="1" si="69"/>
        <v/>
      </c>
      <c r="J203" s="89" vm="76">
        <f ca="1"/>
        <v>45940</v>
      </c>
      <c r="K203" s="89" vm="77">
        <f ca="1"/>
        <v>813.9</v>
      </c>
      <c r="N203" s="874" t="str">
        <f ca="1">IF(F203=[2]Sheet1!O201,"","dif")</f>
        <v>dif</v>
      </c>
    </row>
    <row r="204" spans="2:14" x14ac:dyDescent="0.3">
      <c r="B204" s="1394" vm="74">
        <f ca="1"/>
        <v>45685</v>
      </c>
      <c r="C204" s="1395" vm="75">
        <f ca="1"/>
        <v>646.6</v>
      </c>
      <c r="D204" s="1225">
        <f t="shared" ca="1" si="70"/>
        <v>-7.6734192756292199E-3</v>
      </c>
      <c r="E204" s="294" t="str" cm="1">
        <f t="array" aca="1" ref="E204" ca="1">_xlfn.IFS(D204&gt;ZPercent,"U",D204&lt;=-ZPercent,"D",TRUE,"Z")</f>
        <v>D</v>
      </c>
      <c r="F204" s="294" t="str">
        <f t="shared" ca="1" si="71"/>
        <v>DD</v>
      </c>
      <c r="G204" s="294" t="str">
        <f t="shared" ca="1" si="72"/>
        <v>DDD</v>
      </c>
      <c r="H204" s="874" t="str">
        <f t="shared" ca="1" si="69"/>
        <v/>
      </c>
      <c r="J204" s="89" vm="72">
        <f ca="1"/>
        <v>45943</v>
      </c>
      <c r="K204" s="89" vm="73">
        <f ca="1"/>
        <v>844</v>
      </c>
      <c r="N204" s="874" t="str">
        <f ca="1">IF(F204=[2]Sheet1!O202,"","dif")</f>
        <v>dif</v>
      </c>
    </row>
    <row r="205" spans="2:14" x14ac:dyDescent="0.3">
      <c r="B205" s="1394" vm="70">
        <f ca="1"/>
        <v>45684</v>
      </c>
      <c r="C205" s="1395" vm="71">
        <f ca="1"/>
        <v>651.6</v>
      </c>
      <c r="D205" s="1225">
        <f t="shared" ca="1" si="70"/>
        <v>-7.0072784358498674E-2</v>
      </c>
      <c r="E205" s="294" t="str" cm="1">
        <f t="array" aca="1" ref="E205" ca="1">_xlfn.IFS(D205&gt;ZPercent,"U",D205&lt;=-ZPercent,"D",TRUE,"Z")</f>
        <v>D</v>
      </c>
      <c r="F205" s="294" t="str">
        <f t="shared" ca="1" si="71"/>
        <v>DD</v>
      </c>
      <c r="G205" s="294" t="str">
        <f t="shared" ca="1" si="72"/>
        <v>DDD</v>
      </c>
      <c r="H205" s="874" t="str">
        <f t="shared" ca="1" si="69"/>
        <v/>
      </c>
      <c r="J205" s="89" vm="68">
        <f ca="1"/>
        <v>45944</v>
      </c>
      <c r="K205" s="89" vm="69">
        <f ca="1"/>
        <v>846.6</v>
      </c>
      <c r="N205" s="874" t="str">
        <f ca="1">IF(F205=[2]Sheet1!O203,"","dif")</f>
        <v>dif</v>
      </c>
    </row>
    <row r="206" spans="2:14" x14ac:dyDescent="0.3">
      <c r="B206" s="1394" vm="66">
        <f ca="1"/>
        <v>45681</v>
      </c>
      <c r="C206" s="1395" vm="67">
        <f ca="1"/>
        <v>700.7</v>
      </c>
      <c r="D206" s="1225">
        <f t="shared" ca="1" si="70"/>
        <v>-2.0411016356773257E-2</v>
      </c>
      <c r="E206" s="294" t="str" cm="1">
        <f t="array" aca="1" ref="E206" ca="1">_xlfn.IFS(D206&gt;ZPercent,"U",D206&lt;=-ZPercent,"D",TRUE,"Z")</f>
        <v>D</v>
      </c>
      <c r="F206" s="294" t="str">
        <f t="shared" ca="1" si="71"/>
        <v>DD</v>
      </c>
      <c r="G206" s="294" t="str">
        <f t="shared" ca="1" si="72"/>
        <v>UDD</v>
      </c>
      <c r="H206" s="874" t="str">
        <f t="shared" ca="1" si="69"/>
        <v/>
      </c>
      <c r="J206" s="89" vm="64">
        <f ca="1"/>
        <v>45945</v>
      </c>
      <c r="K206" s="89" vm="65">
        <f ca="1"/>
        <v>873</v>
      </c>
      <c r="N206" s="874" t="str">
        <f ca="1">IF(F206=[2]Sheet1!O204,"","dif")</f>
        <v>dif</v>
      </c>
    </row>
    <row r="207" spans="2:14" x14ac:dyDescent="0.3">
      <c r="B207" s="1394" vm="62">
        <f ca="1"/>
        <v>45680</v>
      </c>
      <c r="C207" s="1395" vm="63">
        <f ca="1"/>
        <v>715.3</v>
      </c>
      <c r="D207" s="1225">
        <f t="shared" ca="1" si="70"/>
        <v>-4.384440582809794E-2</v>
      </c>
      <c r="E207" s="294" t="str" cm="1">
        <f t="array" aca="1" ref="E207" ca="1">_xlfn.IFS(D207&gt;ZPercent,"U",D207&lt;=-ZPercent,"D",TRUE,"Z")</f>
        <v>D</v>
      </c>
      <c r="F207" s="294" t="str">
        <f t="shared" ca="1" si="71"/>
        <v>UD</v>
      </c>
      <c r="G207" s="294" t="str">
        <f t="shared" ca="1" si="72"/>
        <v>DUD</v>
      </c>
      <c r="H207" s="874" t="str">
        <f t="shared" ca="1" si="69"/>
        <v/>
      </c>
      <c r="J207" s="1394" vm="60">
        <f ca="1"/>
        <v>45946</v>
      </c>
      <c r="K207" s="1395" vm="61">
        <f ca="1"/>
        <v>877.4</v>
      </c>
      <c r="N207" s="874" t="str">
        <f ca="1">IF(F207=[2]Sheet1!O205,"","dif")</f>
        <v/>
      </c>
    </row>
    <row r="208" spans="2:14" x14ac:dyDescent="0.3">
      <c r="B208" s="1394" vm="58">
        <f ca="1"/>
        <v>45679</v>
      </c>
      <c r="C208" s="1395" vm="59">
        <f ca="1"/>
        <v>748.1</v>
      </c>
      <c r="D208" s="1225">
        <f t="shared" ca="1" si="70"/>
        <v>2.1436373566357244E-2</v>
      </c>
      <c r="E208" s="294" t="str" cm="1">
        <f t="array" aca="1" ref="E208" ca="1">_xlfn.IFS(D208&gt;ZPercent,"U",D208&lt;=-ZPercent,"D",TRUE,"Z")</f>
        <v>U</v>
      </c>
      <c r="F208" s="294" t="str">
        <f t="shared" ca="1" si="71"/>
        <v>DU</v>
      </c>
      <c r="G208" s="294" t="str">
        <f t="shared" ca="1" si="72"/>
        <v>UDU</v>
      </c>
      <c r="H208" s="874" t="str">
        <f t="shared" ca="1" si="69"/>
        <v/>
      </c>
      <c r="J208" s="1394" vm="56">
        <f ca="1"/>
        <v>45947</v>
      </c>
      <c r="K208" s="1395" vm="57">
        <f ca="1"/>
        <v>875.7</v>
      </c>
      <c r="N208" s="874" t="str">
        <f ca="1">IF(F208=[2]Sheet1!O206,"","dif")</f>
        <v>dif</v>
      </c>
    </row>
    <row r="209" spans="2:14" x14ac:dyDescent="0.3">
      <c r="B209" s="1394" vm="54">
        <f ca="1"/>
        <v>45678</v>
      </c>
      <c r="C209" s="1395" vm="55">
        <f ca="1"/>
        <v>732.4</v>
      </c>
      <c r="D209" s="1225">
        <f t="shared" ca="1" si="70"/>
        <v>-2.0855614973262063E-2</v>
      </c>
      <c r="E209" s="294" t="str" cm="1">
        <f t="array" aca="1" ref="E209" ca="1">_xlfn.IFS(D209&gt;ZPercent,"U",D209&lt;=-ZPercent,"D",TRUE,"Z")</f>
        <v>D</v>
      </c>
      <c r="F209" s="294" t="str">
        <f t="shared" ca="1" si="71"/>
        <v>UD</v>
      </c>
      <c r="G209" s="294" t="str">
        <f t="shared" ca="1" si="72"/>
        <v>DUD</v>
      </c>
      <c r="H209" s="874" t="str">
        <f t="shared" ca="1" si="69"/>
        <v/>
      </c>
      <c r="J209" s="1394" vm="52">
        <f ca="1"/>
        <v>45950</v>
      </c>
      <c r="K209" s="1395" vm="53">
        <f ca="1"/>
        <v>899</v>
      </c>
      <c r="N209" s="874" t="str">
        <f ca="1">IF(F209=[2]Sheet1!O207,"","dif")</f>
        <v>dif</v>
      </c>
    </row>
    <row r="210" spans="2:14" x14ac:dyDescent="0.3">
      <c r="B210" s="1394" vm="50">
        <f ca="1"/>
        <v>45677</v>
      </c>
      <c r="C210" s="1395" vm="51">
        <f ca="1"/>
        <v>748</v>
      </c>
      <c r="D210" s="1225">
        <f t="shared" ca="1" si="70"/>
        <v>1.2041672304153669E-2</v>
      </c>
      <c r="E210" s="294" t="str" cm="1">
        <f t="array" aca="1" ref="E210" ca="1">_xlfn.IFS(D210&gt;ZPercent,"U",D210&lt;=-ZPercent,"D",TRUE,"Z")</f>
        <v>U</v>
      </c>
      <c r="F210" s="294" t="str">
        <f t="shared" ca="1" si="71"/>
        <v>DU</v>
      </c>
      <c r="G210" s="294" t="str">
        <f t="shared" ca="1" si="72"/>
        <v>ZDU</v>
      </c>
      <c r="H210" s="874" t="str">
        <f t="shared" ca="1" si="69"/>
        <v/>
      </c>
      <c r="J210" s="1394" vm="48">
        <f ca="1"/>
        <v>45951</v>
      </c>
      <c r="K210" s="1395" vm="49">
        <f ca="1"/>
        <v>889.8</v>
      </c>
      <c r="N210" s="874" t="str">
        <f ca="1">IF(F210=[2]Sheet1!O208,"","dif")</f>
        <v>dif</v>
      </c>
    </row>
    <row r="211" spans="2:14" x14ac:dyDescent="0.3">
      <c r="B211" s="1394" vm="46">
        <f ca="1"/>
        <v>45674</v>
      </c>
      <c r="C211" s="1395" vm="47">
        <f ca="1"/>
        <v>739.1</v>
      </c>
      <c r="D211" s="1225">
        <f t="shared" ca="1" si="70"/>
        <v>-8.4518379393613563E-3</v>
      </c>
      <c r="E211" s="294" t="str" cm="1">
        <f t="array" aca="1" ref="E211" ca="1">_xlfn.IFS(D211&gt;ZPercent,"U",D211&lt;=-ZPercent,"D",TRUE,"Z")</f>
        <v>D</v>
      </c>
      <c r="F211" s="294" t="str">
        <f t="shared" ca="1" si="71"/>
        <v>ZD</v>
      </c>
      <c r="G211" s="294" t="str">
        <f t="shared" ca="1" si="72"/>
        <v>ZD</v>
      </c>
      <c r="H211" s="874" t="str">
        <f t="shared" ca="1" si="69"/>
        <v>ZZ</v>
      </c>
      <c r="J211" s="1394" vm="44">
        <f ca="1"/>
        <v>45952</v>
      </c>
      <c r="K211" s="1395" vm="45">
        <f ca="1"/>
        <v>870.1</v>
      </c>
      <c r="N211" s="874" t="str">
        <f ca="1">IF(F211=[2]Sheet1!O209,"","dif")</f>
        <v>dif</v>
      </c>
    </row>
    <row r="212" spans="2:14" x14ac:dyDescent="0.3">
      <c r="B212" s="1394" vm="42">
        <f ca="1"/>
        <v>45673</v>
      </c>
      <c r="C212" s="1395" vm="43">
        <f ca="1"/>
        <v>745.4</v>
      </c>
      <c r="D212" s="1225">
        <f t="shared" ca="1" si="70"/>
        <v>0</v>
      </c>
      <c r="E212" s="294" t="str" cm="1">
        <f t="array" aca="1" ref="E212" ca="1">_xlfn.IFS(D212&gt;ZPercent,"U",D212&lt;=-ZPercent,"D",TRUE,"Z")</f>
        <v>Z</v>
      </c>
      <c r="F212" s="294" t="str">
        <f t="shared" ca="1" si="71"/>
        <v>Z</v>
      </c>
      <c r="G212" s="294" t="str">
        <f t="shared" ca="1" si="72"/>
        <v>Z</v>
      </c>
      <c r="H212" s="874" t="str">
        <f t="shared" ca="1" si="69"/>
        <v/>
      </c>
      <c r="J212" s="1394" vm="40">
        <f ca="1"/>
        <v>45953</v>
      </c>
      <c r="K212" s="1395" vm="41">
        <f ca="1"/>
        <v>887.7</v>
      </c>
      <c r="N212" s="874" t="str" cm="1">
        <f t="array" aca="1" ref="N212" ca="1">IF(LastMark2=[2]!Last2,"","dif")</f>
        <v>dif</v>
      </c>
    </row>
    <row r="213" spans="2:14" x14ac:dyDescent="0.3">
      <c r="J213" s="874" vm="37">
        <f ca="1"/>
        <v>45954</v>
      </c>
      <c r="K213" s="874" vm="38">
        <f ca="1"/>
        <v>894.4</v>
      </c>
    </row>
    <row r="214" spans="2:14" x14ac:dyDescent="0.3">
      <c r="J214" s="874" vm="33">
        <f ca="1"/>
        <v>45957</v>
      </c>
      <c r="K214" s="874" vm="34">
        <f ca="1"/>
        <v>908.1</v>
      </c>
    </row>
    <row r="215" spans="2:14" x14ac:dyDescent="0.3">
      <c r="J215" s="874" vm="29">
        <f ca="1"/>
        <v>45958</v>
      </c>
      <c r="K215" s="874" vm="30">
        <f ca="1"/>
        <v>907.4</v>
      </c>
    </row>
    <row r="216" spans="2:14" x14ac:dyDescent="0.3">
      <c r="J216" s="874" vm="25">
        <f ca="1"/>
        <v>45959</v>
      </c>
      <c r="K216" s="874" vm="26">
        <f ca="1"/>
        <v>919.4</v>
      </c>
    </row>
    <row r="217" spans="2:14" x14ac:dyDescent="0.3">
      <c r="J217" s="874" vm="21">
        <f ca="1"/>
        <v>45960</v>
      </c>
      <c r="K217" s="874" vm="22">
        <f ca="1"/>
        <v>937.5</v>
      </c>
    </row>
    <row r="218" spans="2:14" x14ac:dyDescent="0.3">
      <c r="J218" s="874" vm="17">
        <f ca="1"/>
        <v>45961</v>
      </c>
      <c r="K218" s="874" vm="18">
        <f ca="1"/>
        <v>918.1</v>
      </c>
    </row>
    <row r="219" spans="2:14" x14ac:dyDescent="0.3">
      <c r="J219" s="874" vm="13">
        <f ca="1"/>
        <v>45964</v>
      </c>
      <c r="K219" s="874" vm="14">
        <f ca="1"/>
        <v>926.5</v>
      </c>
    </row>
    <row r="220" spans="2:14" x14ac:dyDescent="0.3">
      <c r="J220" s="874" vm="9">
        <f ca="1"/>
        <v>45965</v>
      </c>
      <c r="K220" s="874" vm="10">
        <f ca="1"/>
        <v>918</v>
      </c>
    </row>
    <row r="221" spans="2:14" x14ac:dyDescent="0.3">
      <c r="J221" s="874" vm="5">
        <f ca="1"/>
        <v>45966</v>
      </c>
      <c r="K221" s="874" vm="6">
        <f ca="1"/>
        <v>906.6</v>
      </c>
    </row>
    <row r="222" spans="2:14" x14ac:dyDescent="0.3">
      <c r="J222" s="874" vm="1">
        <f ca="1"/>
        <v>45967</v>
      </c>
      <c r="K222" s="874" vm="2">
        <f ca="1"/>
        <v>895.3</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26"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25" priority="3026">
      <formula>$BC123=$BB$88</formula>
    </cfRule>
  </conditionalFormatting>
  <conditionalFormatting sqref="BN93:BN101">
    <cfRule type="expression" dxfId="724"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60"/>
  <sheetViews>
    <sheetView showZeros="0" tabSelected="1" topLeftCell="P6" zoomScale="70" zoomScaleNormal="70" workbookViewId="0">
      <selection activeCell="K7" sqref="K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34" max="34" width="13.125" customWidth="1"/>
  </cols>
  <sheetData>
    <row r="1" spans="1:32" x14ac:dyDescent="0.3">
      <c r="A1" s="353" t="s">
        <v>1861</v>
      </c>
      <c r="B1" s="353" t="s">
        <v>1862</v>
      </c>
      <c r="L1" s="1463" t="s">
        <v>2352</v>
      </c>
      <c r="M1" s="1463"/>
      <c r="N1" s="1463"/>
      <c r="O1" s="1463"/>
      <c r="W1" s="222" t="s">
        <v>1837</v>
      </c>
      <c r="Y1" t="s">
        <v>2782</v>
      </c>
    </row>
    <row r="2" spans="1:32" ht="23" thickBot="1" x14ac:dyDescent="0.35">
      <c r="A2" s="627" t="str">
        <f ca="1">TEXT(_xlfn.XLOOKUP(ID_Currency,BankCheck!F2:F7,BankCheck!D2:D7),"#,#0")&amp;" "&amp;ID_Currency</f>
        <v>2,134,152 EUR</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12,092 EUR</v>
      </c>
      <c r="B3" s="1157">
        <v>28690</v>
      </c>
      <c r="C3" s="974"/>
      <c r="D3" s="974"/>
      <c r="E3" s="975"/>
      <c r="F3" s="976"/>
      <c r="G3" s="976"/>
      <c r="H3" s="977"/>
      <c r="K3" s="935">
        <f ca="1">[1]ExtEntry!$A$1</f>
        <v>45968.870802858597</v>
      </c>
      <c r="L3" s="837" t="str" cm="1">
        <f t="array" aca="1" ref="L3:M8" ca="1">_xlfn._xlws.FILTER(CHOOSE({1,2}, TabTRADER[ClickTick], TabTRADER[Sell_Advice]), (TabTRADER[Cur] = ID_Currency) * (TabTRADER[Sell_Advice]&lt;&gt;""),"No Match")</f>
        <v>ASML</v>
      </c>
      <c r="M3" s="835" t="str">
        <f ca="1"/>
        <v>88/3,100=76,520</v>
      </c>
      <c r="N3" s="838" t="str" cm="1">
        <f t="array" aca="1" ref="N3:O5" ca="1">_xlfn._xlws.FILTER(CHOOSE({1,2}, TabTRADER[ClickTick], TabTRADER[Buy_Advice]), (TabTRADER[Cur] = ID_Currency) * (TabTRADER[Buy_Advice]&lt;&gt;""),"No Match")</f>
        <v>ASML</v>
      </c>
      <c r="O3" s="836" t="str">
        <f ca="1"/>
        <v>BUY  127</v>
      </c>
      <c r="R3" s="1"/>
    </row>
    <row r="4" spans="1:32" ht="23" thickBot="1" x14ac:dyDescent="0.35">
      <c r="C4" s="881"/>
      <c r="D4" s="881"/>
      <c r="E4" s="894"/>
      <c r="F4" s="881"/>
      <c r="G4" s="881"/>
      <c r="H4" s="882"/>
      <c r="K4" s="591" t="s">
        <v>1844</v>
      </c>
      <c r="L4" s="839" t="str">
        <f ca="1"/>
        <v>MVEENI</v>
      </c>
      <c r="M4" s="611" t="str">
        <f ca="1"/>
        <v>1,682/36,000=26,803</v>
      </c>
      <c r="N4" s="840" t="str">
        <f ca="1"/>
        <v>EOAN</v>
      </c>
      <c r="O4" s="841" t="str">
        <f ca="1"/>
        <v>BUY  333,333</v>
      </c>
    </row>
    <row r="5" spans="1:32" ht="27" x14ac:dyDescent="0.35">
      <c r="A5" s="643" t="s">
        <v>1864</v>
      </c>
      <c r="B5" s="603" t="s">
        <v>1866</v>
      </c>
      <c r="C5" s="878"/>
      <c r="D5" s="883"/>
      <c r="E5" s="884"/>
      <c r="F5" s="878"/>
      <c r="G5" s="883"/>
      <c r="H5" s="884"/>
      <c r="K5" s="630">
        <f ca="1">_xlfn.XLOOKUP(IDTICKER,[1]!RTData[Ticker_Symbol],[1]!RTData[M-Price])</f>
        <v>870.8</v>
      </c>
      <c r="L5" s="839" t="str">
        <f ca="1"/>
        <v>SAFASML</v>
      </c>
      <c r="M5" s="611" t="str">
        <f ca="1"/>
        <v>18/250=15,793</v>
      </c>
      <c r="N5" s="840" t="str">
        <f ca="1"/>
        <v>JBEOAN</v>
      </c>
      <c r="O5" s="841" t="str">
        <f ca="1"/>
        <v>BUY  333,333</v>
      </c>
      <c r="R5" s="115"/>
    </row>
    <row r="6" spans="1:32" ht="23" thickBot="1" x14ac:dyDescent="0.35">
      <c r="A6" s="626" t="str" cm="1">
        <f t="array" aca="1" ref="A6" ca="1">_xlfn.IFS(H16&gt;0,"Free Stock",StockNow*ID_M&lt;ABS(H16),"n/a",H16&lt;=0,TEXT(-H16/ID_M/GBpScale,"#,#0"))</f>
        <v>2,273</v>
      </c>
      <c r="B6" s="625">
        <f ca="1">_xlfn.XLOOKUP(IDTICKER,[1]!RTData[Ticker_Symbol],[1]!RTData[1YT])</f>
        <v>941.90326000000005</v>
      </c>
      <c r="C6" s="879"/>
      <c r="D6" s="885"/>
      <c r="E6" s="887"/>
      <c r="F6" s="879"/>
      <c r="G6" s="886"/>
      <c r="H6" s="887"/>
      <c r="K6" s="592" t="str">
        <f ca="1">_xlfn.XLOOKUP(K7,[1]!RTData[Ticker_Symbol],[1]!RTData[Currency])</f>
        <v>EUR</v>
      </c>
      <c r="L6" s="839" t="str">
        <f ca="1"/>
        <v>ENI</v>
      </c>
      <c r="M6" s="611" t="str">
        <f ca="1"/>
        <v>4,708/17,000=75,009</v>
      </c>
      <c r="N6" s="840"/>
      <c r="O6" s="841"/>
    </row>
    <row r="7" spans="1:32" ht="28" thickBot="1" x14ac:dyDescent="0.4">
      <c r="A7" s="603" t="str">
        <f ca="1">IF(A8&gt;0,"Sell-to-Cash (GL=0)","Hold")</f>
        <v>Sell-to-Cash (GL=0)</v>
      </c>
      <c r="B7" s="676">
        <f ca="1">GBpScale*((StockNow+_xlfn.XLOOKUP(IDTICKER,TabTRADER[ClickTick],TabTRADER[L_Sn]))*_xlfn.XLOOKUP(IDTICKER,TabTRADER[ClickTick],TabTRADER[Agiotage]))-CurrentValue</f>
        <v>-3129615.7392480592</v>
      </c>
      <c r="C7" s="1464" t="str">
        <f ca="1">"Short Term Up:"&amp;TEXT(100*ID_Up20,"#")&amp;"/"&amp;TEXT(100*$C$10,"#")&amp;"/"&amp;TEXT($C$11,"#%")</f>
        <v>Short Term Up:/100/72%</v>
      </c>
      <c r="D7" s="1465"/>
      <c r="E7" s="1324"/>
      <c r="F7" s="1324" t="str">
        <f ca="1">"Long Term Up:"&amp;TEXT(100*ID_Up150,"#")&amp;"/"&amp;TEXT(100*F10,"#")&amp;"/"&amp;TEXT(F11,"#%")</f>
        <v>Long Term Up:55/50/45%</v>
      </c>
      <c r="G7" s="1324"/>
      <c r="H7" s="1330"/>
      <c r="I7" s="7" t="s">
        <v>2698</v>
      </c>
      <c r="J7" s="1"/>
      <c r="K7" s="1063" t="s">
        <v>32</v>
      </c>
      <c r="L7" s="839" t="str">
        <f ca="1"/>
        <v>JBASML</v>
      </c>
      <c r="M7" s="611" t="str">
        <f ca="1"/>
        <v>34/200=29,607</v>
      </c>
      <c r="N7" s="840"/>
      <c r="O7" s="841"/>
    </row>
    <row r="8" spans="1:32" ht="23" thickBot="1" x14ac:dyDescent="0.35">
      <c r="A8" s="599">
        <f ca="1">INT(GL_Now/ID_M)</f>
        <v>1326</v>
      </c>
      <c r="B8" s="676">
        <f ca="1">GBpScale*(StockNow*_xlfn.XLOOKUP(IDTICKER,TabTRADER[ClickTick],TabTRADER[Agiotage]))-CurrentValue</f>
        <v>-3129758.0165656791</v>
      </c>
      <c r="C8" s="1331" t="s">
        <v>2727</v>
      </c>
      <c r="E8" s="881"/>
      <c r="F8" s="1331" t="s">
        <v>2728</v>
      </c>
      <c r="G8" s="875"/>
      <c r="H8" s="877"/>
      <c r="I8" s="1089">
        <f ca="1">_xlfn.XLOOKUP(IDTICKER,TabCalc[Ticker],TabCalc[Rev(MinStock)])</f>
        <v>11379.999999999996</v>
      </c>
      <c r="J8" s="1410"/>
      <c r="K8" s="1064" t="str">
        <f>IDTICKER&amp;1</f>
        <v>ASML1</v>
      </c>
      <c r="L8" s="839" t="str">
        <f ca="1"/>
        <v>JBEOAN</v>
      </c>
      <c r="M8" s="611" t="str">
        <f ca="1"/>
        <v>3,891/18,000=62,665</v>
      </c>
      <c r="N8" s="840"/>
      <c r="O8" s="841"/>
    </row>
    <row r="9" spans="1:32" ht="23" thickBot="1" x14ac:dyDescent="0.35">
      <c r="B9" s="677">
        <f ca="1">(B7-B8)/(_xlfn.XLOOKUP(IDTICKER,TabTRADER[ClickTick],TabTRADER[L_Sn])*ID_M*GBpScale)</f>
        <v>1.633869058565486E-3</v>
      </c>
      <c r="C9" s="1314">
        <f ca="1">Markov!CQ45</f>
        <v>0</v>
      </c>
      <c r="E9" s="1325"/>
      <c r="F9" s="1314">
        <f ca="1">UpPercent</f>
        <v>0.54545454545454541</v>
      </c>
      <c r="G9" s="877"/>
      <c r="H9" s="889"/>
      <c r="I9" s="1326">
        <f ca="1">_xlfn.XLOOKUP(IDTICKER,TabCalc[Ticker],TabCalc[ReverseB])</f>
        <v>3945.0000000000045</v>
      </c>
      <c r="J9" s="1411"/>
      <c r="K9" s="1065" t="str">
        <f>IDTICKER&amp;2</f>
        <v>ASML2</v>
      </c>
      <c r="L9" s="839"/>
      <c r="M9" s="611"/>
      <c r="N9" s="840"/>
      <c r="O9" s="841"/>
    </row>
    <row r="10" spans="1:32" ht="23" thickBot="1" x14ac:dyDescent="0.35">
      <c r="A10" s="91">
        <f ca="1">(B7-B8)/(B10*GBpScale)-1</f>
        <v>-0.99836613094143456</v>
      </c>
      <c r="B10" s="676">
        <f ca="1">_xlfn.XLOOKUP(IDTICKER,TabTRADER[ClickTick],TabTRADER[L_Sn])*ID_M</f>
        <v>87080</v>
      </c>
      <c r="C10" s="1315">
        <f ca="1">Markov!CH90</f>
        <v>1</v>
      </c>
      <c r="E10" s="1325"/>
      <c r="F10" s="1315">
        <f ca="1">Markov!Y89</f>
        <v>0.5</v>
      </c>
      <c r="G10" s="877"/>
      <c r="H10" s="1329"/>
      <c r="I10" s="1327" t="s">
        <v>694</v>
      </c>
      <c r="J10" s="1412"/>
      <c r="K10" s="956">
        <f ca="1">IF(ID_Currency="GBp",0.01,1)</f>
        <v>1</v>
      </c>
      <c r="L10" s="839"/>
      <c r="M10" s="611"/>
      <c r="N10" s="840"/>
      <c r="O10" s="841"/>
    </row>
    <row r="11" spans="1:32" ht="23" thickBot="1" x14ac:dyDescent="0.35">
      <c r="A11" s="633" t="s">
        <v>1875</v>
      </c>
      <c r="B11" s="603" t="s">
        <v>1865</v>
      </c>
      <c r="C11" s="1316">
        <f ca="1">Markov!CH107</f>
        <v>0.71875</v>
      </c>
      <c r="E11" s="881"/>
      <c r="F11" s="1316">
        <f ca="1">Markov!AC107</f>
        <v>0.44871794871794873</v>
      </c>
      <c r="G11" s="875"/>
      <c r="H11" s="1328"/>
      <c r="I11" s="955">
        <f ca="1">_xlfn.XLOOKUP(IDTICKER,[1]!RTData[Ticker_Symbol],[1]!RTData[RepDiv])*ID_M_Value</f>
        <v>21944.159373024002</v>
      </c>
      <c r="J11" s="1410"/>
      <c r="K11" s="1162" t="str" cm="1">
        <f t="array" aca="1" ref="K11" ca="1">"High "&amp;TEXT(_xlfn.XLOOKUP(IDTICKER,ListTickers,Tab1High[High20]),"#,#0.00")</f>
        <v>High 900.90</v>
      </c>
      <c r="L11" s="839"/>
      <c r="M11" s="611"/>
      <c r="N11" s="840"/>
      <c r="O11" s="841"/>
    </row>
    <row r="12" spans="1:32" ht="23" thickBot="1" x14ac:dyDescent="0.35">
      <c r="A12" s="634" t="e" cm="1">
        <f t="array" ref="A12">TEXT(MIN(_xlfn._xlws.FILTER(Q22:Q47, Q22:Q47 &lt; ABS_A)),"#.#0")&amp;" (max "&amp;TEXT(_xlfn.XLOOKUP(MIN(_xlfn._xlws.FILTER(Q22:Q47, Q22:Q47 &lt; ABS_A)),Q22:Q47,R22:R47),"#,#0")&amp;")"</f>
        <v>#NAME?</v>
      </c>
      <c r="B12" s="634">
        <f ca="1">ABS(ID_A+C15)</f>
        <v>338.45829991381282</v>
      </c>
      <c r="C12" s="886"/>
      <c r="D12" s="886"/>
      <c r="E12" s="898"/>
      <c r="F12" s="891"/>
      <c r="G12" s="886"/>
      <c r="H12" s="892"/>
      <c r="I12" s="677">
        <f ca="1">_xlfn.XLOOKUP(IDTICKER,[1]!RTData[Ticker_Symbol],[1]!RTData[RepDiv])</f>
        <v>6.9999998000000001E-3</v>
      </c>
      <c r="J12" s="677"/>
      <c r="K12" s="1163" t="str" cm="1">
        <f t="array" aca="1" ref="K12" ca="1">"Low. "&amp;_xlfn.XLOOKUP(IDTICKER,ListTickers,Tab1Low[Low20])</f>
        <v>Low. 870.8</v>
      </c>
      <c r="L12" s="839"/>
      <c r="M12" s="611"/>
      <c r="N12" s="840"/>
      <c r="O12" s="841"/>
      <c r="P12" s="91" cm="1">
        <f t="array" aca="1" ref="P12" ca="1">_xlfn.XLOOKUP(IDTICKER,ListTickers,Tab1ChangePercent[Change%15])</f>
        <v>1.9687E-2</v>
      </c>
      <c r="Q12" s="91" cm="1">
        <f t="array" aca="1" ref="Q12" ca="1">_xlfn.XLOOKUP(IDTICKER,ListTickers,Tab1ChangePercent[Change%16])</f>
        <v>-9.1739999999999999E-3</v>
      </c>
      <c r="R12" s="91" cm="1">
        <f t="array" aca="1" ref="R12" ca="1">_xlfn.XLOOKUP(IDTICKER,ListTickers,Tab1ChangePercent[Change%17])</f>
        <v>-1.2418E-2</v>
      </c>
      <c r="S12" s="91" cm="1">
        <f t="array" aca="1" ref="S12" ca="1">_xlfn.XLOOKUP(IDTICKER,ListTickers,Tab1ChangePercent[Change%18])</f>
        <v>-1.2463999999999999E-2</v>
      </c>
      <c r="T12" s="91" cm="1">
        <f t="array" aca="1" ref="T12" ca="1">_xlfn.XLOOKUP(IDTICKER,ListTickers,Tab1ChangePercent[Change%19])</f>
        <v>-2.7365E-2</v>
      </c>
      <c r="U12" s="91" cm="1">
        <f t="array" aca="1" ref="U12" ca="1">_xlfn.XLOOKUP(IDTICKER,ListTickers,Tab1ChangePercent[Change%20])</f>
        <v>-2.7365E-2</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767,828</v>
      </c>
      <c r="L13" s="839"/>
      <c r="M13" s="611"/>
      <c r="N13" s="840"/>
      <c r="O13" s="841"/>
      <c r="P13" s="1279">
        <f ca="1">DataShift!U103</f>
        <v>45961</v>
      </c>
      <c r="Q13" s="1279">
        <f ca="1">DataShift!V103</f>
        <v>45964</v>
      </c>
      <c r="R13" s="1279">
        <f ca="1">DataShift!W103</f>
        <v>45965</v>
      </c>
      <c r="S13" s="1279">
        <f ca="1">DataShift!X103</f>
        <v>45966</v>
      </c>
      <c r="T13" s="1279">
        <f ca="1">DataShift!Y103</f>
        <v>45967</v>
      </c>
      <c r="U13" s="1279">
        <f ca="1">DataShift!Z103</f>
        <v>45968</v>
      </c>
    </row>
    <row r="14" spans="1:32" ht="23" thickBot="1" x14ac:dyDescent="0.35">
      <c r="A14" s="597" t="s">
        <v>1915</v>
      </c>
      <c r="B14" s="598" t="s">
        <v>1856</v>
      </c>
      <c r="C14" s="613" t="s">
        <v>1834</v>
      </c>
      <c r="D14" s="966" t="s">
        <v>2143</v>
      </c>
      <c r="E14" s="618" t="s">
        <v>1858</v>
      </c>
      <c r="F14" s="619">
        <f ca="1">SUM(F15:F16)</f>
        <v>2373624</v>
      </c>
      <c r="G14" s="619">
        <f ca="1">SUM(G15:G16)</f>
        <v>3134880</v>
      </c>
      <c r="H14" s="667" t="s">
        <v>1867</v>
      </c>
      <c r="I14" s="69"/>
      <c r="K14" s="970" t="s">
        <v>1852</v>
      </c>
      <c r="L14" s="839"/>
      <c r="M14" s="611"/>
      <c r="N14" s="840"/>
      <c r="O14" s="841"/>
      <c r="P14" s="91" cm="1">
        <f t="array" aca="1" ref="P14" ca="1">_xlfn.XLOOKUP(IDTICKER,ListTickers,Tab2SumChangePercent[AVGChan15])</f>
        <v>-4.0619916666666672E-3</v>
      </c>
      <c r="Q14" s="91" cm="1">
        <f t="array" aca="1" ref="Q14" ca="1">_xlfn.XLOOKUP(IDTICKER,ListTickers,Tab2SumChangePercent[AVGChan16])</f>
        <v>-2.7278249999999988E-3</v>
      </c>
      <c r="R14" s="91" cm="1">
        <f t="array" aca="1" ref="R14" ca="1">_xlfn.XLOOKUP(IDTICKER,ListTickers,Tab2SumChangePercent[AVGChan17])</f>
        <v>1.1275202380952383E-3</v>
      </c>
      <c r="S14" s="91" cm="1">
        <f t="array" aca="1" ref="S14" ca="1">_xlfn.XLOOKUP(IDTICKER,ListTickers,Tab2SumChangePercent[AVGChan18])</f>
        <v>3.0662107142857154E-3</v>
      </c>
      <c r="T14" s="91" cm="1">
        <f t="array" aca="1" ref="T14" ca="1">_xlfn.XLOOKUP(IDTICKER,ListTickers,Tab2SumChangePercent[AVGChan19])</f>
        <v>-2.7738666666666666E-3</v>
      </c>
      <c r="U14" s="91" cm="1">
        <f t="array" aca="1" ref="U14" ca="1">_xlfn.XLOOKUP(IDTICKER,ListTickers,Tab2SumChangePercent[AVGChan20])</f>
        <v>-7.0868964285714297E-3</v>
      </c>
    </row>
    <row r="15" spans="1:32" ht="23" thickBot="1" x14ac:dyDescent="0.35">
      <c r="A15" s="599" cm="1">
        <f t="array" aca="1" ref="A15" ca="1">ABS(SUMPRODUCT((ABS(TabFIFO[Price])&lt;ID_M)*TabFIFO[Price],TabFIFO[Remaining])*GBpScale)</f>
        <v>2373624</v>
      </c>
      <c r="B15" s="600" cm="1">
        <f t="array" aca="1" ref="B15" ca="1">SUMPRODUCT((ABS(TabFIFO[Price])&lt;ID_M)*ID_M,TabFIFO[Remaining])*GBpScale</f>
        <v>3134880</v>
      </c>
      <c r="C15" s="705">
        <f ca="1">GL_Now/StockNow</f>
        <v>320.88170008618721</v>
      </c>
      <c r="D15" s="969" t="str">
        <f ca="1">"M&gt;"&amp;TEXT(ID_A+GLperShare,"#,#0.00")</f>
        <v>M&gt;-338.46</v>
      </c>
      <c r="E15" s="706" cm="1">
        <f t="array" ref="E15">SUM((TabFIFO[Price]&lt;=ID_A)*(TabFIFO[Remaining]))</f>
        <v>1200</v>
      </c>
      <c r="F15" s="615" cm="1">
        <f t="array" aca="1" ref="F15" ca="1">ABS(SUMPRODUCT((TabFIFO[Price]&lt;ID_A)*TabFIFO[Price],TabFIFO[Remaining])*GBpScale)</f>
        <v>884924</v>
      </c>
      <c r="G15" s="616" cm="1">
        <f t="array" aca="1" ref="G15" ca="1">SUMPRODUCT((TabFIFO[Price]&lt;ID_A)*ID_M,TabFIFO[Remaining])*GBpScale</f>
        <v>1044960</v>
      </c>
      <c r="H15" s="623">
        <f ca="1">FirstLot*BeginCost*GBpScale</f>
        <v>-448050</v>
      </c>
      <c r="I15" s="624">
        <f ca="1">FirstLot*ID_M*GBpScale+H15</f>
        <v>-12650</v>
      </c>
      <c r="J15" s="685"/>
      <c r="K15" s="971">
        <f ca="1">_xlfn.XLOOKUP(IDTICKER,[1]!RTData[Ticker_Symbol],[1]!RTData[Ddate])</f>
        <v>45958</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0</v>
      </c>
      <c r="B16" s="595" cm="1">
        <f t="array" aca="1" ref="B16" ca="1">SUMPRODUCT((ABS(TabFIFO[Price])&gt;ID_M)*ID_M,TabFIFO[Remaining])*GBpScale</f>
        <v>0</v>
      </c>
      <c r="C16" s="962" t="str">
        <f ca="1">TEXT(V20*K5*GBpScale,"#,#0")&amp;" / "&amp;TEXT(V20*C15*GBpScale,"#,#0")</f>
        <v>435,400 / 160,441</v>
      </c>
      <c r="D16" s="969">
        <f ca="1">ID_M+ID_A</f>
        <v>211.45999999999992</v>
      </c>
      <c r="E16" s="964" cm="1">
        <f t="array" ref="E16">SUM((TabFIFO[Price]&gt;ID_A)*(TabFIFO[Remaining]))</f>
        <v>2400</v>
      </c>
      <c r="F16" s="587" cm="1">
        <f t="array" aca="1" ref="F16" ca="1">ABS(SUMPRODUCT((TabFIFO[Price]&gt;ID_A)*TabFIFO[Price],TabFIFO[Remaining])*GBpScale)</f>
        <v>1488700</v>
      </c>
      <c r="G16" s="575" cm="1">
        <f t="array" aca="1" ref="G16" ca="1">SUMPRODUCT((TabFIFO[Price]&gt;ID_A)*ID_M,TabFIFO[Remaining])*GBpScale</f>
        <v>2089920</v>
      </c>
      <c r="H16" s="961">
        <f ca="1">TotalCost+TradeIncome</f>
        <v>-1979705.879689726</v>
      </c>
      <c r="I16" s="590">
        <f ca="1">SUM(G19:I19)</f>
        <v>1155174.120310274</v>
      </c>
      <c r="J16" s="685"/>
      <c r="K16" s="842" t="str">
        <f ca="1">_xlfn.LET(_xlpm.div,_xlfn.XLOOKUP(IDTICKER,[1]!RTData[Ticker_Symbol],[1]!RTData[RepDiv]),TEXT(_xlpm.div,"#0.0%")&amp;"="&amp;TEXT(_xlpm.div*CurrentValue,"#,#0"))</f>
        <v>0.7%=21,944</v>
      </c>
      <c r="L16" s="839"/>
      <c r="M16" s="611"/>
      <c r="N16" s="840"/>
      <c r="O16" s="841"/>
      <c r="P16" s="90" cm="1">
        <f t="array" aca="1" ref="P16" ca="1">_xlfn.XLOOKUP(IDTICKER,ListTickers,Tab2Agiotage[XAgio15])</f>
        <v>0.97038282181975921</v>
      </c>
      <c r="Q16" s="90" cm="1">
        <f t="array" aca="1" ref="Q16" ca="1">_xlfn.XLOOKUP(IDTICKER,ListTickers,Tab2Agiotage[XAgio16])</f>
        <v>0.91785407110091743</v>
      </c>
      <c r="R16" s="90" cm="1">
        <f t="array" aca="1" ref="R16" ca="1">_xlfn.XLOOKUP(IDTICKER,ListTickers,Tab2Agiotage[XAgio17])</f>
        <v>1.2120666350052971</v>
      </c>
      <c r="S16" s="90" cm="1">
        <f t="array" aca="1" ref="S16" ca="1">_xlfn.XLOOKUP(IDTICKER,ListTickers,Tab2Agiotage[XAgio18])</f>
        <v>0.8690636176438713</v>
      </c>
      <c r="T16" s="90" cm="1">
        <f t="array" aca="1" ref="T16" ca="1">_xlfn.XLOOKUP(IDTICKER,ListTickers,Tab2Agiotage[XAgio19])</f>
        <v>1.4227731762002704</v>
      </c>
      <c r="U16" s="90" cm="1">
        <f t="array" aca="1" ref="U16" ca="1">_xlfn.XLOOKUP(IDTICKER,ListTickers,Tab2Agiotage[XAgio20])</f>
        <v>1.4227731762002704</v>
      </c>
      <c r="AC16" s="1466" t="str">
        <f>IDTICKER</f>
        <v>ASML</v>
      </c>
      <c r="AD16" s="569" t="s">
        <v>2768</v>
      </c>
      <c r="AE16" s="593" t="s">
        <v>2668</v>
      </c>
      <c r="AF16" s="593" t="s">
        <v>2764</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941.90</v>
      </c>
      <c r="L17" s="839"/>
      <c r="M17" s="1015"/>
      <c r="N17" s="840"/>
      <c r="O17" s="841"/>
      <c r="P17" s="221">
        <v>1</v>
      </c>
      <c r="Q17" s="90">
        <v>1</v>
      </c>
      <c r="R17" s="221">
        <v>1</v>
      </c>
      <c r="S17" s="90">
        <v>1</v>
      </c>
      <c r="T17" s="221">
        <v>1</v>
      </c>
      <c r="U17" s="90">
        <v>1</v>
      </c>
      <c r="AC17" s="1466"/>
      <c r="AD17" s="725">
        <f ca="1">_xlfn.XLOOKUP(IDTICKER,TabCalc[Ticker],TabCalc[ValueBegin])</f>
        <v>-448050</v>
      </c>
      <c r="AE17" s="1429">
        <f ca="1">CurrentValue</f>
        <v>3134880</v>
      </c>
      <c r="AF17" s="1429">
        <f ca="1">GL_Now</f>
        <v>1155174.120310274</v>
      </c>
      <c r="AG17" s="948">
        <f>StockNow</f>
        <v>3600</v>
      </c>
    </row>
    <row r="18" spans="1:36" ht="23" thickBot="1" x14ac:dyDescent="0.35">
      <c r="B18" s="576" t="s">
        <v>1859</v>
      </c>
      <c r="C18" s="617" t="s">
        <v>1849</v>
      </c>
      <c r="D18" s="967" t="s">
        <v>1579</v>
      </c>
      <c r="E18" s="604">
        <f ca="1">IF(StockNow*ID_M&lt;&gt;StockNow*ID_M*GBpScale,"math.Error",StockNow*ID_M*GBpScale)</f>
        <v>3134880</v>
      </c>
      <c r="F18" s="576" t="s">
        <v>1843</v>
      </c>
      <c r="G18" s="603" t="s">
        <v>1000</v>
      </c>
      <c r="H18" s="603" t="s">
        <v>1847</v>
      </c>
      <c r="I18" s="603" t="s">
        <v>1842</v>
      </c>
      <c r="J18" s="353"/>
      <c r="L18" s="839"/>
      <c r="M18" s="611"/>
      <c r="N18" s="840"/>
      <c r="O18" s="912"/>
      <c r="P18" t="str">
        <f>IDTICKER&amp;": Last 5 Day Fl_Avg.Ch,Agio)"</f>
        <v>ASML: Last 5 Day Fl_Avg.Ch,Agio)</v>
      </c>
      <c r="AC18" s="1426" t="s">
        <v>2766</v>
      </c>
      <c r="AG18" s="1425" t="s">
        <v>2765</v>
      </c>
    </row>
    <row r="19" spans="1:36" ht="23" thickBot="1" x14ac:dyDescent="0.35">
      <c r="A19" s="612" t="s">
        <v>1833</v>
      </c>
      <c r="B19" s="602" cm="1">
        <f t="array" aca="1" ref="B19" ca="1">SUM((ABS(TabFIFO[Price])&lt;ID_M)*(TabFIFO[Remaining]))</f>
        <v>3600</v>
      </c>
      <c r="C19" s="614">
        <f ca="1">_xlfn.XLOOKUP(IDTICKER,[1]!RTData[Ticker_Symbol],[1]!RTData[RepDiv])*ID_M</f>
        <v>6.0955998258399999</v>
      </c>
      <c r="D19" s="968">
        <f>IFERROR(SUMPRODUCT(TabFIFO[Price],TabFIFO[Remaining])/StockNow,0)</f>
        <v>-659.34</v>
      </c>
      <c r="E19" s="605">
        <f>TabFIFO[[#Totals],[Remaining]]</f>
        <v>3600</v>
      </c>
      <c r="F19" s="608">
        <f ca="1">TabFIFO[[#Totals],[Profit/Loss]]*GBpScale-(TradeIncome-TotalCost)*Commission</f>
        <v>-52441.187284651503</v>
      </c>
      <c r="G19" s="607">
        <f ca="1">TabFIFO[[#Totals],[Income]]*(1-Commission)*GBpScale</f>
        <v>5012646.5379727343</v>
      </c>
      <c r="H19" s="610">
        <f ca="1">TabFIFO[[#Totals],[Cost]]*(1+Commission)*GBpScale</f>
        <v>-6992352.4176624604</v>
      </c>
      <c r="I19" s="607">
        <f ca="1">TabFIFO[[#Totals],[M-VALUE Now]]*GBpScale</f>
        <v>3134880</v>
      </c>
      <c r="J19" s="1413"/>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353" t="s">
        <v>131</v>
      </c>
      <c r="AC19" s="593">
        <f ca="1">ID_M</f>
        <v>870.8</v>
      </c>
      <c r="AD19" s="1432">
        <f>ID_A</f>
        <v>-659.34</v>
      </c>
      <c r="AE19" s="353" t="s">
        <v>2770</v>
      </c>
      <c r="AF19" t="s">
        <v>2771</v>
      </c>
      <c r="AI19" s="353" t="s">
        <v>2769</v>
      </c>
      <c r="AJ19" s="353" t="s">
        <v>2764</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870.8</v>
      </c>
      <c r="R20" s="568"/>
      <c r="S20" s="568"/>
      <c r="T20" s="867">
        <f>S21</f>
        <v>500</v>
      </c>
      <c r="U20" s="489" cm="1">
        <f t="array" aca="1" ref="U20:X99" ca="1">_xlfn._xlws.SORT(Q20:T99)</f>
        <v>599.29999999999995</v>
      </c>
      <c r="V20" s="82">
        <f ca="1"/>
        <v>500</v>
      </c>
      <c r="W20" s="82">
        <f ca="1"/>
        <v>0</v>
      </c>
      <c r="X20" s="82">
        <f ca="1"/>
        <v>0</v>
      </c>
      <c r="Y20" s="83">
        <f ca="1">U20</f>
        <v>599.29999999999995</v>
      </c>
      <c r="Z20" s="845">
        <f ca="1">Q20</f>
        <v>870.8</v>
      </c>
      <c r="AA20" s="845">
        <v>9.9999999999999995E-7</v>
      </c>
      <c r="AC20" s="666"/>
      <c r="AD20" s="1429">
        <f ca="1">SUM(AD22:AD99)</f>
        <v>3600</v>
      </c>
      <c r="AE20" s="1429">
        <f ca="1">SUM(AE22:AE99)</f>
        <v>3134880</v>
      </c>
      <c r="AF20" s="1429">
        <f ca="1">SUM(AF22:AF99)</f>
        <v>761255.99999999988</v>
      </c>
      <c r="AG20" s="725">
        <f ca="1">SUM(AG22:AG99)</f>
        <v>2100</v>
      </c>
      <c r="AH20" s="666"/>
      <c r="AI20" s="725">
        <f ca="1">SUM(AI22:AI99)</f>
        <v>1828680</v>
      </c>
      <c r="AJ20" s="725">
        <f ca="1">SUM(AJ22:AJ99)</f>
        <v>-124363.0000000001</v>
      </c>
    </row>
    <row r="21" spans="1:36" ht="23" thickBot="1" x14ac:dyDescent="0.35">
      <c r="A21" s="1022" t="s">
        <v>2479</v>
      </c>
      <c r="B21" s="1019">
        <f ca="1">SUMIFS(TabFIFO[Remaining], TabFIFO[Price], "&lt;" &amp; -ID_M*(1-NeutralZoneM))</f>
        <v>0</v>
      </c>
      <c r="C21" s="574">
        <v>500</v>
      </c>
      <c r="D21" s="571">
        <v>-896.1</v>
      </c>
      <c r="E21" s="570">
        <v>0</v>
      </c>
      <c r="F21" s="821">
        <v>0</v>
      </c>
      <c r="G21" s="572">
        <f>IF(TabFIFO[[#This Row],[Price]]&gt;0,TabFIFO[[#This Row],[Number]]*TabFIFO[[#This Row],[Price]],0)*(1-Commission)</f>
        <v>0</v>
      </c>
      <c r="H21" s="572">
        <f>IF(TabFIFO[[#This Row],[Price]]&lt;0,TabFIFO[[#This Row],[Number]]*TabFIFO[[#This Row],[Price]],0)*(1+Commission)</f>
        <v>-449214.93</v>
      </c>
      <c r="I21" s="822">
        <f ca="1">TabFIFO[[#This Row],[Remaining]]*ID_M</f>
        <v>0</v>
      </c>
      <c r="J21" s="1414"/>
      <c r="L21" s="839"/>
      <c r="M21" s="611"/>
      <c r="N21" s="840"/>
      <c r="O21" s="913"/>
      <c r="P21" s="1417" t="s">
        <v>1579</v>
      </c>
      <c r="Q21" s="1418">
        <f>ABS(ID_A)</f>
        <v>659.34</v>
      </c>
      <c r="R21" s="1419"/>
      <c r="S21" s="1420">
        <f>MAX(R22:R99)</f>
        <v>500</v>
      </c>
      <c r="T21" s="1419"/>
      <c r="U21" s="1421">
        <f ca="1"/>
        <v>602.54999999999995</v>
      </c>
      <c r="V21" s="1422">
        <f ca="1"/>
        <v>300</v>
      </c>
      <c r="W21" s="1422">
        <f ca="1"/>
        <v>0</v>
      </c>
      <c r="X21" s="1422">
        <f ca="1"/>
        <v>0</v>
      </c>
      <c r="Y21" s="1423">
        <f t="shared" ref="Y21:Y50" ca="1" si="0">U21</f>
        <v>602.54999999999995</v>
      </c>
      <c r="Z21" s="1424">
        <f>ABS(ID_A)</f>
        <v>659.34</v>
      </c>
      <c r="AA21" s="1424">
        <v>9.9999999999999995E-7</v>
      </c>
      <c r="AB21" s="831"/>
    </row>
    <row r="22" spans="1:36" ht="23" thickTop="1" x14ac:dyDescent="0.3">
      <c r="A22" s="1023" t="s">
        <v>2480</v>
      </c>
      <c r="B22" s="1020">
        <f ca="1">SUMIFS(TabFIFO[Remaining], TabFIFO[Price], "&gt;" &amp; -(ID_M*(1-NeutralZoneM)))</f>
        <v>3600</v>
      </c>
      <c r="C22" s="574">
        <v>500</v>
      </c>
      <c r="D22" s="571">
        <v>896.1</v>
      </c>
      <c r="E22" s="570"/>
      <c r="F22" s="821">
        <v>0</v>
      </c>
      <c r="G22" s="572">
        <f>IF(TabFIFO[[#This Row],[Price]]&gt;0,TabFIFO[[#This Row],[Number]]*TabFIFO[[#This Row],[Price]],0)*(1-Commission)</f>
        <v>446885.07</v>
      </c>
      <c r="H22" s="572">
        <f>IF(TabFIFO[[#This Row],[Price]]&lt;0,TabFIFO[[#This Row],[Number]]*TabFIFO[[#This Row],[Price]],0)*(1+Commission)</f>
        <v>0</v>
      </c>
      <c r="I22" s="579">
        <f ca="1">TabFIFO[[#This Row],[Remaining]]*ID_M</f>
        <v>0</v>
      </c>
      <c r="J22" s="1415"/>
      <c r="L22" s="839"/>
      <c r="M22" s="611"/>
      <c r="N22" s="840"/>
      <c r="O22" s="913"/>
      <c r="P22" s="1416" t="s">
        <v>1873</v>
      </c>
      <c r="Q22" s="828" cm="1">
        <f t="array" ref="Q22:Q50">ABS(_xlfn._xlws.FILTER(TabFIFO[Price],TabFIFO[Price]&lt;0,NA()))</f>
        <v>896.1</v>
      </c>
      <c r="R22" s="1221" cm="1">
        <f t="array" ref="R22:R50">ABS(_xlfn._xlws.FILTER(TabFIFO[Remaining],TabFIFO[Price]&lt;0,0))</f>
        <v>0</v>
      </c>
      <c r="S22" s="1222"/>
      <c r="T22" s="1222"/>
      <c r="U22" s="1223">
        <f ca="1"/>
        <v>603.79999999999995</v>
      </c>
      <c r="V22" s="829">
        <f ca="1"/>
        <v>200</v>
      </c>
      <c r="W22" s="829">
        <f ca="1"/>
        <v>0</v>
      </c>
      <c r="X22" s="829">
        <f ca="1"/>
        <v>0</v>
      </c>
      <c r="Y22" s="828">
        <f t="shared" ca="1" si="0"/>
        <v>603.79999999999995</v>
      </c>
      <c r="Z22" s="362" cm="1">
        <f t="array" ref="Z22:AA99">_xlfn._xlws.SORT(_xlfn._xlws.FILTER(Q22:R99, R22:R99 &gt;=0), 1, 1)</f>
        <v>599.29999999999995</v>
      </c>
      <c r="AA22" s="829">
        <v>500</v>
      </c>
      <c r="AB22" s="719"/>
      <c r="AC22" s="1433" cm="1">
        <f t="array" aca="1" ref="AC22:AD36" ca="1">IFERROR(_xlfn._xlws.SORT(
    _xlfn._xlws.FILTER(TabFIFO[[Price]:[Remaining]], (TabFIFO[Price]&lt;0)*(TabFIFO[Remaining]&gt;0)*(ID_M+TabFIFO[Price]&gt;0)),
    1, -1
),"Market price LT all purchase prices")</f>
        <v>-599.29999999999995</v>
      </c>
      <c r="AD22" s="1434">
        <f ca="1"/>
        <v>500</v>
      </c>
      <c r="AE22" s="1439">
        <f ca="1">AD22*ID_M*GBpScale</f>
        <v>435400</v>
      </c>
      <c r="AF22" s="1440">
        <f ca="1">IFERROR(AD22*(ID_M+AC22)*GBpScale,0)</f>
        <v>135750</v>
      </c>
      <c r="AG22" s="1445" cm="1">
        <f t="array" aca="1" ref="AG22:AH29" ca="1">IFERROR(_xlfn._xlws.SORT(
    _xlfn._xlws.FILTER(TabFIFO[[Number]:[Price]], (TabFIFO[Price]&gt;0)*(TabFIFO[Remaining]=0)*(ID_M-TabFIFO[Price]&lt;0)),
    2, -1
),"Market price GT all sale prices")</f>
        <v>510</v>
      </c>
      <c r="AH22" s="1446">
        <f ca="1"/>
        <v>982.8</v>
      </c>
      <c r="AI22" s="1451">
        <f ca="1">AG22*ID_M*GBpScale</f>
        <v>444108</v>
      </c>
      <c r="AJ22" s="1452">
        <f ca="1">IFERROR(AG22*(ID_M-AH22)*GBpScale,0)</f>
        <v>-57120</v>
      </c>
    </row>
    <row r="23" spans="1:36" ht="23" thickBot="1" x14ac:dyDescent="0.35">
      <c r="A23" s="1024" t="s">
        <v>2481</v>
      </c>
      <c r="B23" s="1021">
        <f ca="1">StockNow-B22-B21</f>
        <v>0</v>
      </c>
      <c r="C23" s="574">
        <v>490</v>
      </c>
      <c r="D23" s="571">
        <v>954.5</v>
      </c>
      <c r="E23" s="570"/>
      <c r="F23" s="821">
        <v>0</v>
      </c>
      <c r="G23" s="572">
        <f>IF(TabFIFO[[#This Row],[Price]]&gt;0,TabFIFO[[#This Row],[Number]]*TabFIFO[[#This Row],[Price]],0)*(1-Commission)</f>
        <v>466488.967</v>
      </c>
      <c r="H23" s="572">
        <f>IF(TabFIFO[[#This Row],[Price]]&lt;0,TabFIFO[[#This Row],[Number]]*TabFIFO[[#This Row],[Price]],0)*(1+Commission)</f>
        <v>0</v>
      </c>
      <c r="I23" s="579">
        <f ca="1">TabFIFO[[#This Row],[Remaining]]*ID_M</f>
        <v>0</v>
      </c>
      <c r="J23" s="1415"/>
      <c r="L23" s="839"/>
      <c r="M23" s="911"/>
      <c r="N23" s="840"/>
      <c r="O23" s="913"/>
      <c r="P23" s="1219" t="s">
        <v>1874</v>
      </c>
      <c r="Q23" s="828">
        <v>945</v>
      </c>
      <c r="R23" s="1221">
        <v>0</v>
      </c>
      <c r="S23" s="1222"/>
      <c r="T23" s="1222">
        <f t="shared" ref="T23:T37" si="1">S23</f>
        <v>0</v>
      </c>
      <c r="U23" s="1223">
        <f ca="1"/>
        <v>622.20000000000005</v>
      </c>
      <c r="V23" s="829">
        <f ca="1"/>
        <v>500</v>
      </c>
      <c r="W23" s="829">
        <f ca="1"/>
        <v>0</v>
      </c>
      <c r="X23" s="829">
        <f ca="1"/>
        <v>0</v>
      </c>
      <c r="Y23" s="828">
        <f t="shared" ca="1" si="0"/>
        <v>622.20000000000005</v>
      </c>
      <c r="Z23" s="362">
        <v>602.54999999999995</v>
      </c>
      <c r="AA23" s="829">
        <v>300</v>
      </c>
      <c r="AB23" s="719"/>
      <c r="AC23" s="1435">
        <f ca="1"/>
        <v>-602.54999999999995</v>
      </c>
      <c r="AD23" s="1436">
        <f ca="1"/>
        <v>300</v>
      </c>
      <c r="AE23" s="1441">
        <f ca="1">AD23*ID_M*GBpScale</f>
        <v>261240</v>
      </c>
      <c r="AF23" s="1442">
        <f ca="1">IFERROR(AD23*(ID_M+AC23)*GBpScale,0)</f>
        <v>80475</v>
      </c>
      <c r="AG23" s="1447">
        <f ca="1"/>
        <v>490</v>
      </c>
      <c r="AH23" s="1448">
        <f ca="1"/>
        <v>954.5</v>
      </c>
      <c r="AI23" s="1453">
        <f ca="1">AG23*ID_M*GBpScale</f>
        <v>426692</v>
      </c>
      <c r="AJ23" s="1454">
        <f ca="1">IFERROR(AG23*(ID_M-AH23)*GBpScale,0)</f>
        <v>-41013.000000000022</v>
      </c>
    </row>
    <row r="24" spans="1:36" x14ac:dyDescent="0.3">
      <c r="A24" s="82"/>
      <c r="C24" s="574">
        <v>500</v>
      </c>
      <c r="D24" s="571">
        <v>-945</v>
      </c>
      <c r="E24" s="570">
        <v>0</v>
      </c>
      <c r="F24" s="821">
        <v>0</v>
      </c>
      <c r="G24" s="572">
        <f>IF(TabFIFO[[#This Row],[Price]]&gt;0,TabFIFO[[#This Row],[Number]]*TabFIFO[[#This Row],[Price]],0)*(1-Commission)</f>
        <v>0</v>
      </c>
      <c r="H24" s="572">
        <f>IF(TabFIFO[[#This Row],[Price]]&lt;0,TabFIFO[[#This Row],[Number]]*TabFIFO[[#This Row],[Price]],0)*(1+Commission)</f>
        <v>-473728.49999999994</v>
      </c>
      <c r="I24" s="579">
        <f ca="1">TabFIFO[[#This Row],[Remaining]]*ID_M</f>
        <v>0</v>
      </c>
      <c r="J24" s="1415"/>
      <c r="L24" s="839"/>
      <c r="M24" s="911"/>
      <c r="N24" s="840"/>
      <c r="O24" s="913"/>
      <c r="P24" s="362"/>
      <c r="Q24" s="828">
        <v>879.74199999999996</v>
      </c>
      <c r="R24" s="1221">
        <v>0</v>
      </c>
      <c r="S24" s="1222"/>
      <c r="T24" s="1222">
        <f t="shared" si="1"/>
        <v>0</v>
      </c>
      <c r="U24" s="1223">
        <f ca="1"/>
        <v>632.79999999999995</v>
      </c>
      <c r="V24" s="829">
        <f ca="1"/>
        <v>300</v>
      </c>
      <c r="W24" s="829">
        <f ca="1"/>
        <v>0</v>
      </c>
      <c r="X24" s="829">
        <f ca="1"/>
        <v>0</v>
      </c>
      <c r="Y24" s="828">
        <f t="shared" ca="1" si="0"/>
        <v>632.79999999999995</v>
      </c>
      <c r="Z24" s="362">
        <v>603.79999999999995</v>
      </c>
      <c r="AA24" s="829">
        <v>200</v>
      </c>
      <c r="AB24" s="719"/>
      <c r="AC24" s="1435">
        <f ca="1"/>
        <v>-603.79999999999995</v>
      </c>
      <c r="AD24" s="1436">
        <f ca="1"/>
        <v>200</v>
      </c>
      <c r="AE24" s="1441">
        <f ca="1">AD24*ID_M*GBpScale</f>
        <v>174160</v>
      </c>
      <c r="AF24" s="1442">
        <f ca="1">IFERROR(AD24*(ID_M+AC24)*GBpScale,0)</f>
        <v>53400</v>
      </c>
      <c r="AG24" s="1447">
        <f ca="1"/>
        <v>100</v>
      </c>
      <c r="AH24" s="1448">
        <f ca="1"/>
        <v>910.25</v>
      </c>
      <c r="AI24" s="1453">
        <f ca="1">AG24*ID_M*GBpScale</f>
        <v>87080</v>
      </c>
      <c r="AJ24" s="1454">
        <f ca="1">IFERROR(AG24*(ID_M-AH24)*GBpScale,0)</f>
        <v>-3945.0000000000045</v>
      </c>
    </row>
    <row r="25" spans="1:36" x14ac:dyDescent="0.3">
      <c r="A25" s="82"/>
      <c r="B25" s="82"/>
      <c r="C25" s="574">
        <v>510</v>
      </c>
      <c r="D25" s="571">
        <v>982.8</v>
      </c>
      <c r="E25" s="570"/>
      <c r="F25" s="821">
        <v>18900</v>
      </c>
      <c r="G25" s="572">
        <f>IF(TabFIFO[[#This Row],[Price]]&gt;0,TabFIFO[[#This Row],[Number]]*TabFIFO[[#This Row],[Price]],0)*(1-Commission)</f>
        <v>499924.80719999998</v>
      </c>
      <c r="H25" s="572">
        <f>IF(TabFIFO[[#This Row],[Price]]&lt;0,TabFIFO[[#This Row],[Number]]*TabFIFO[[#This Row],[Price]],0)*(1+Commission)</f>
        <v>0</v>
      </c>
      <c r="I25" s="579">
        <f ca="1">TabFIFO[[#This Row],[Remaining]]*ID_M</f>
        <v>0</v>
      </c>
      <c r="J25" s="1415"/>
      <c r="L25" s="839"/>
      <c r="M25" s="911"/>
      <c r="N25" s="840"/>
      <c r="O25" s="913"/>
      <c r="P25" s="362"/>
      <c r="Q25" s="828">
        <v>860.48699999999997</v>
      </c>
      <c r="R25" s="1221">
        <v>0</v>
      </c>
      <c r="S25" s="1222"/>
      <c r="T25" s="1222">
        <f t="shared" si="1"/>
        <v>0</v>
      </c>
      <c r="U25" s="1223">
        <f ca="1"/>
        <v>632.95000000000005</v>
      </c>
      <c r="V25" s="829">
        <f ca="1"/>
        <v>100</v>
      </c>
      <c r="W25" s="829">
        <f ca="1"/>
        <v>0</v>
      </c>
      <c r="X25" s="829">
        <f ca="1"/>
        <v>0</v>
      </c>
      <c r="Y25" s="828">
        <f t="shared" ca="1" si="0"/>
        <v>632.95000000000005</v>
      </c>
      <c r="Z25" s="362">
        <v>622.20000000000005</v>
      </c>
      <c r="AA25" s="829">
        <v>500</v>
      </c>
      <c r="AB25" s="719"/>
      <c r="AC25" s="1435">
        <f ca="1"/>
        <v>-622.20000000000005</v>
      </c>
      <c r="AD25" s="1436">
        <f ca="1"/>
        <v>500</v>
      </c>
      <c r="AE25" s="1441">
        <f ca="1">AD25*ID_M*GBpScale</f>
        <v>435400</v>
      </c>
      <c r="AF25" s="1442">
        <f ca="1">IFERROR(AD25*(ID_M+AC25)*GBpScale,0)</f>
        <v>124299.99999999996</v>
      </c>
      <c r="AG25" s="1447">
        <f ca="1"/>
        <v>100</v>
      </c>
      <c r="AH25" s="1448">
        <f ca="1"/>
        <v>901.2</v>
      </c>
      <c r="AI25" s="1453">
        <f ca="1">AG25*ID_M*GBpScale</f>
        <v>87080</v>
      </c>
      <c r="AJ25" s="1454">
        <f ca="1">IFERROR(AG25*(ID_M-AH25)*GBpScale,0)</f>
        <v>-3040.0000000000091</v>
      </c>
    </row>
    <row r="26" spans="1:36" x14ac:dyDescent="0.3">
      <c r="A26" s="82"/>
      <c r="B26" s="82"/>
      <c r="C26" s="574">
        <v>500</v>
      </c>
      <c r="D26" s="571">
        <v>-879.74199999999996</v>
      </c>
      <c r="E26" s="570">
        <v>0</v>
      </c>
      <c r="F26" s="821">
        <v>0</v>
      </c>
      <c r="G26" s="572">
        <f>IF(TabFIFO[[#This Row],[Price]]&gt;0,TabFIFO[[#This Row],[Number]]*TabFIFO[[#This Row],[Price]],0)*(1-Commission)</f>
        <v>0</v>
      </c>
      <c r="H26" s="572">
        <f>IF(TabFIFO[[#This Row],[Price]]&lt;0,TabFIFO[[#This Row],[Number]]*TabFIFO[[#This Row],[Price]],0)*(1+Commission)</f>
        <v>-441014.66459999996</v>
      </c>
      <c r="I26" s="579">
        <f ca="1">TabFIFO[[#This Row],[Remaining]]*ID_M</f>
        <v>0</v>
      </c>
      <c r="J26" s="1415"/>
      <c r="L26" s="839"/>
      <c r="M26" s="911"/>
      <c r="N26" s="840"/>
      <c r="O26" s="913"/>
      <c r="P26" s="362"/>
      <c r="Q26" s="828">
        <v>857.1</v>
      </c>
      <c r="R26" s="1221">
        <v>0</v>
      </c>
      <c r="S26" s="1222"/>
      <c r="T26" s="1222">
        <f t="shared" si="1"/>
        <v>0</v>
      </c>
      <c r="U26" s="1223">
        <f ca="1"/>
        <v>645.5</v>
      </c>
      <c r="V26" s="829">
        <f ca="1"/>
        <v>200</v>
      </c>
      <c r="W26" s="829">
        <f ca="1"/>
        <v>0</v>
      </c>
      <c r="X26" s="829">
        <f ca="1"/>
        <v>0</v>
      </c>
      <c r="Y26" s="828">
        <f t="shared" ca="1" si="0"/>
        <v>645.5</v>
      </c>
      <c r="Z26" s="362">
        <v>632.79999999999995</v>
      </c>
      <c r="AA26" s="829">
        <v>300</v>
      </c>
      <c r="AB26" s="719"/>
      <c r="AC26" s="1435">
        <f ca="1"/>
        <v>-632.79999999999995</v>
      </c>
      <c r="AD26" s="1436">
        <f ca="1"/>
        <v>300</v>
      </c>
      <c r="AE26" s="1441">
        <f ca="1">AD26*ID_M*GBpScale</f>
        <v>261240</v>
      </c>
      <c r="AF26" s="1442">
        <f ca="1">IFERROR(AD26*(ID_M+AC26)*GBpScale,0)</f>
        <v>71400</v>
      </c>
      <c r="AG26" s="1447">
        <f ca="1"/>
        <v>500</v>
      </c>
      <c r="AH26" s="1448">
        <f ca="1"/>
        <v>896.1</v>
      </c>
      <c r="AI26" s="1453">
        <f ca="1">AG26*ID_M*GBpScale</f>
        <v>435400</v>
      </c>
      <c r="AJ26" s="1454">
        <f ca="1">IFERROR(AG26*(ID_M-AH26)*GBpScale,0)</f>
        <v>-12650.000000000035</v>
      </c>
    </row>
    <row r="27" spans="1:36" x14ac:dyDescent="0.3">
      <c r="A27" s="82"/>
      <c r="B27" s="82"/>
      <c r="C27" s="574">
        <v>500</v>
      </c>
      <c r="D27" s="571">
        <v>-860.48699999999997</v>
      </c>
      <c r="E27" s="570">
        <v>0</v>
      </c>
      <c r="F27" s="821">
        <v>0</v>
      </c>
      <c r="G27" s="572">
        <f>IF(TabFIFO[[#This Row],[Price]]&gt;0,TabFIFO[[#This Row],[Number]]*TabFIFO[[#This Row],[Price]],0)*(1-Commission)</f>
        <v>0</v>
      </c>
      <c r="H27" s="572">
        <f>IF(TabFIFO[[#This Row],[Price]]&lt;0,TabFIFO[[#This Row],[Number]]*TabFIFO[[#This Row],[Price]],0)*(1+Commission)</f>
        <v>-431362.13309999998</v>
      </c>
      <c r="I27" s="579">
        <f ca="1">TabFIFO[[#This Row],[Remaining]]*ID_M</f>
        <v>0</v>
      </c>
      <c r="J27" s="1415"/>
      <c r="L27" s="839"/>
      <c r="M27" s="911"/>
      <c r="N27" s="840"/>
      <c r="O27" s="913"/>
      <c r="P27" s="362"/>
      <c r="Q27" s="828">
        <v>763.5</v>
      </c>
      <c r="R27" s="1221">
        <v>0</v>
      </c>
      <c r="S27" s="1222"/>
      <c r="T27" s="1222">
        <f t="shared" si="1"/>
        <v>0</v>
      </c>
      <c r="U27" s="1223">
        <f ca="1"/>
        <v>647.1</v>
      </c>
      <c r="V27" s="829">
        <f ca="1"/>
        <v>0</v>
      </c>
      <c r="W27" s="829">
        <f ca="1"/>
        <v>0</v>
      </c>
      <c r="X27" s="829">
        <f ca="1"/>
        <v>0</v>
      </c>
      <c r="Y27" s="828">
        <f t="shared" ca="1" si="0"/>
        <v>647.1</v>
      </c>
      <c r="Z27" s="362">
        <v>632.95000000000005</v>
      </c>
      <c r="AA27" s="829">
        <v>100</v>
      </c>
      <c r="AB27" s="719"/>
      <c r="AC27" s="1435">
        <f ca="1"/>
        <v>-632.95000000000005</v>
      </c>
      <c r="AD27" s="1436">
        <f ca="1"/>
        <v>100</v>
      </c>
      <c r="AE27" s="1441">
        <f ca="1">AD27*ID_M*GBpScale</f>
        <v>87080</v>
      </c>
      <c r="AF27" s="1442">
        <f ca="1">IFERROR(AD27*(ID_M+AC27)*GBpScale,0)</f>
        <v>23784.999999999993</v>
      </c>
      <c r="AG27" s="1447">
        <f ca="1"/>
        <v>100</v>
      </c>
      <c r="AH27" s="1448">
        <f ca="1"/>
        <v>894.75</v>
      </c>
      <c r="AI27" s="1453">
        <f ca="1">AG27*ID_M*GBpScale</f>
        <v>87080</v>
      </c>
      <c r="AJ27" s="1454">
        <f ca="1">IFERROR(AG27*(ID_M-AH27)*GBpScale,0)</f>
        <v>-2395.0000000000045</v>
      </c>
    </row>
    <row r="28" spans="1:36" x14ac:dyDescent="0.3">
      <c r="A28" s="82"/>
      <c r="B28" s="82"/>
      <c r="C28" s="574">
        <v>500</v>
      </c>
      <c r="D28" s="571">
        <v>-857.1</v>
      </c>
      <c r="E28" s="570">
        <v>0</v>
      </c>
      <c r="F28" s="821">
        <v>0</v>
      </c>
      <c r="G28" s="572">
        <f>IF(TabFIFO[[#This Row],[Price]]&gt;0,TabFIFO[[#This Row],[Number]]*TabFIFO[[#This Row],[Price]],0)*(1-Commission)</f>
        <v>0</v>
      </c>
      <c r="H28" s="572">
        <f>IF(TabFIFO[[#This Row],[Price]]&lt;0,TabFIFO[[#This Row],[Number]]*TabFIFO[[#This Row],[Price]],0)*(1+Commission)</f>
        <v>-429664.23</v>
      </c>
      <c r="I28" s="579">
        <f ca="1">TabFIFO[[#This Row],[Remaining]]*ID_M</f>
        <v>0</v>
      </c>
      <c r="J28" s="1415"/>
      <c r="L28" s="839"/>
      <c r="M28" s="911"/>
      <c r="N28" s="840"/>
      <c r="O28" s="913"/>
      <c r="P28" s="362"/>
      <c r="Q28" s="828">
        <v>791.4</v>
      </c>
      <c r="R28" s="1221">
        <v>0</v>
      </c>
      <c r="S28" s="1222"/>
      <c r="T28" s="1222">
        <f t="shared" si="1"/>
        <v>0</v>
      </c>
      <c r="U28" s="1223">
        <f ca="1"/>
        <v>647.29999999999995</v>
      </c>
      <c r="V28" s="829">
        <f ca="1"/>
        <v>300</v>
      </c>
      <c r="W28" s="829">
        <f ca="1"/>
        <v>0</v>
      </c>
      <c r="X28" s="829">
        <f ca="1"/>
        <v>0</v>
      </c>
      <c r="Y28" s="828">
        <f t="shared" ca="1" si="0"/>
        <v>647.29999999999995</v>
      </c>
      <c r="Z28" s="362">
        <v>645.5</v>
      </c>
      <c r="AA28" s="829">
        <v>200</v>
      </c>
      <c r="AB28" s="719"/>
      <c r="AC28" s="1435">
        <f ca="1"/>
        <v>-645.5</v>
      </c>
      <c r="AD28" s="1436">
        <f ca="1"/>
        <v>200</v>
      </c>
      <c r="AE28" s="1441">
        <f ca="1">AD28*ID_M*GBpScale</f>
        <v>174160</v>
      </c>
      <c r="AF28" s="1442">
        <f ca="1">IFERROR(AD28*(ID_M+AC28)*GBpScale,0)</f>
        <v>45059.999999999993</v>
      </c>
      <c r="AG28" s="1447">
        <f ca="1"/>
        <v>100</v>
      </c>
      <c r="AH28" s="1448">
        <f ca="1"/>
        <v>893.2</v>
      </c>
      <c r="AI28" s="1453">
        <f ca="1">AG28*ID_M*GBpScale</f>
        <v>87080</v>
      </c>
      <c r="AJ28" s="1454">
        <f ca="1">IFERROR(AG28*(ID_M-AH28)*GBpScale,0)</f>
        <v>-2240.0000000000091</v>
      </c>
    </row>
    <row r="29" spans="1:36" x14ac:dyDescent="0.3">
      <c r="A29" s="82"/>
      <c r="B29" s="82"/>
      <c r="C29" s="574">
        <v>300</v>
      </c>
      <c r="D29" s="571">
        <v>-763.5</v>
      </c>
      <c r="E29" s="570">
        <v>0</v>
      </c>
      <c r="F29" s="821">
        <v>0</v>
      </c>
      <c r="G29" s="572">
        <f>IF(TabFIFO[[#This Row],[Price]]&gt;0,TabFIFO[[#This Row],[Number]]*TabFIFO[[#This Row],[Price]],0)*(1-Commission)</f>
        <v>0</v>
      </c>
      <c r="H29" s="572">
        <f>IF(TabFIFO[[#This Row],[Price]]&lt;0,TabFIFO[[#This Row],[Number]]*TabFIFO[[#This Row],[Price]],0)*(1+Commission)</f>
        <v>-229645.53</v>
      </c>
      <c r="I29" s="579">
        <f ca="1">TabFIFO[[#This Row],[Remaining]]*ID_M</f>
        <v>0</v>
      </c>
      <c r="J29" s="1415"/>
      <c r="L29" s="839"/>
      <c r="M29" s="911"/>
      <c r="N29" s="840"/>
      <c r="O29" s="913"/>
      <c r="P29" s="362"/>
      <c r="Q29" s="828">
        <v>761.4</v>
      </c>
      <c r="R29" s="1221">
        <v>0</v>
      </c>
      <c r="S29" s="1222"/>
      <c r="T29" s="1222">
        <f t="shared" si="1"/>
        <v>0</v>
      </c>
      <c r="U29" s="1223">
        <f ca="1"/>
        <v>653.1</v>
      </c>
      <c r="V29" s="829">
        <f ca="1"/>
        <v>0</v>
      </c>
      <c r="W29" s="829">
        <f ca="1"/>
        <v>0</v>
      </c>
      <c r="X29" s="829">
        <f ca="1"/>
        <v>0</v>
      </c>
      <c r="Y29" s="828">
        <f t="shared" ca="1" si="0"/>
        <v>653.1</v>
      </c>
      <c r="Z29" s="362">
        <v>647.1</v>
      </c>
      <c r="AA29" s="829">
        <v>0</v>
      </c>
      <c r="AB29" s="719"/>
      <c r="AC29" s="1435">
        <f ca="1"/>
        <v>-647.29999999999995</v>
      </c>
      <c r="AD29" s="1436">
        <f ca="1"/>
        <v>300</v>
      </c>
      <c r="AE29" s="1441">
        <f ca="1">AD29*ID_M*GBpScale</f>
        <v>261240</v>
      </c>
      <c r="AF29" s="1442">
        <f ca="1">IFERROR(AD29*(ID_M+AC29)*GBpScale,0)</f>
        <v>67050</v>
      </c>
      <c r="AG29" s="1447">
        <f ca="1"/>
        <v>200</v>
      </c>
      <c r="AH29" s="1448">
        <f ca="1"/>
        <v>880.6</v>
      </c>
      <c r="AI29" s="1453">
        <f ca="1">AG29*ID_M*GBpScale</f>
        <v>174160</v>
      </c>
      <c r="AJ29" s="1454">
        <f ca="1">IFERROR(AG29*(ID_M-AH29)*GBpScale,0)</f>
        <v>-1960.0000000000136</v>
      </c>
    </row>
    <row r="30" spans="1:36" x14ac:dyDescent="0.3">
      <c r="A30" s="82"/>
      <c r="B30" s="82"/>
      <c r="C30" s="574">
        <v>300</v>
      </c>
      <c r="D30" s="571">
        <v>826.52670000000001</v>
      </c>
      <c r="E30" s="570"/>
      <c r="F30" s="821">
        <v>-15964.589999999967</v>
      </c>
      <c r="G30" s="572">
        <f>IF(TabFIFO[[#This Row],[Price]]&gt;0,TabFIFO[[#This Row],[Number]]*TabFIFO[[#This Row],[Price]],0)*(1-Commission)</f>
        <v>247313.319174</v>
      </c>
      <c r="H30" s="572">
        <f>IF(TabFIFO[[#This Row],[Price]]&lt;0,TabFIFO[[#This Row],[Number]]*TabFIFO[[#This Row],[Price]],0)*(1+Commission)</f>
        <v>0</v>
      </c>
      <c r="I30" s="579">
        <f ca="1">TabFIFO[[#This Row],[Remaining]]*ID_M</f>
        <v>0</v>
      </c>
      <c r="J30" s="1415"/>
      <c r="L30" s="839"/>
      <c r="M30" s="911"/>
      <c r="N30" s="840"/>
      <c r="O30" s="913"/>
      <c r="P30" s="362"/>
      <c r="Q30" s="828">
        <v>653.1</v>
      </c>
      <c r="R30" s="1221">
        <v>0</v>
      </c>
      <c r="S30" s="1222"/>
      <c r="T30" s="1222">
        <f t="shared" si="1"/>
        <v>0</v>
      </c>
      <c r="U30" s="1223">
        <f ca="1"/>
        <v>653.70000000000005</v>
      </c>
      <c r="V30" s="829">
        <f ca="1"/>
        <v>0</v>
      </c>
      <c r="W30" s="829">
        <f ca="1"/>
        <v>0</v>
      </c>
      <c r="X30" s="829">
        <f ca="1"/>
        <v>0</v>
      </c>
      <c r="Y30" s="828">
        <f t="shared" ca="1" si="0"/>
        <v>653.70000000000005</v>
      </c>
      <c r="Z30" s="362">
        <v>647.29999999999995</v>
      </c>
      <c r="AA30" s="829">
        <v>300</v>
      </c>
      <c r="AB30" s="719"/>
      <c r="AC30" s="1435">
        <f ca="1"/>
        <v>-690.9</v>
      </c>
      <c r="AD30" s="1436">
        <f ca="1"/>
        <v>300</v>
      </c>
      <c r="AE30" s="1441">
        <f ca="1">AD30*ID_M*GBpScale</f>
        <v>261240</v>
      </c>
      <c r="AF30" s="1442">
        <f ca="1">IFERROR(AD30*(ID_M+AC30)*GBpScale,0)</f>
        <v>53969.999999999993</v>
      </c>
      <c r="AG30" s="1447"/>
      <c r="AH30" s="1448"/>
      <c r="AI30" s="1453">
        <f ca="1">AG30*ID_M*GBpScale</f>
        <v>0</v>
      </c>
      <c r="AJ30" s="1454">
        <f ca="1">IFERROR(AG30*(ID_M-AH30)*GBpScale,0)</f>
        <v>0</v>
      </c>
    </row>
    <row r="31" spans="1:36" x14ac:dyDescent="0.3">
      <c r="A31" s="82"/>
      <c r="B31" s="82"/>
      <c r="C31" s="574">
        <v>300</v>
      </c>
      <c r="D31" s="571">
        <v>-791.4</v>
      </c>
      <c r="E31" s="570">
        <v>0</v>
      </c>
      <c r="F31" s="821">
        <v>0</v>
      </c>
      <c r="G31" s="572">
        <f>IF(TabFIFO[[#This Row],[Price]]&gt;0,TabFIFO[[#This Row],[Number]]*TabFIFO[[#This Row],[Price]],0)*(1-Commission)</f>
        <v>0</v>
      </c>
      <c r="H31" s="572">
        <f>IF(TabFIFO[[#This Row],[Price]]&lt;0,TabFIFO[[#This Row],[Number]]*TabFIFO[[#This Row],[Price]],0)*(1+Commission)</f>
        <v>-238037.29199999999</v>
      </c>
      <c r="I31" s="579">
        <f ca="1">TabFIFO[[#This Row],[Remaining]]*ID_M</f>
        <v>0</v>
      </c>
      <c r="J31" s="1415"/>
      <c r="L31" s="839"/>
      <c r="M31" s="911"/>
      <c r="N31" s="840"/>
      <c r="O31" s="913"/>
      <c r="P31" s="362"/>
      <c r="Q31" s="828">
        <v>653.70000000000005</v>
      </c>
      <c r="R31" s="1221">
        <v>0</v>
      </c>
      <c r="S31" s="1222"/>
      <c r="T31" s="1222">
        <f t="shared" si="1"/>
        <v>0</v>
      </c>
      <c r="U31" s="1223">
        <f ca="1"/>
        <v>659.34</v>
      </c>
      <c r="V31" s="829">
        <f ca="1"/>
        <v>0</v>
      </c>
      <c r="W31" s="829">
        <f ca="1"/>
        <v>500</v>
      </c>
      <c r="X31" s="829">
        <f ca="1"/>
        <v>0</v>
      </c>
      <c r="Y31" s="828">
        <f t="shared" ca="1" si="0"/>
        <v>659.34</v>
      </c>
      <c r="Z31" s="362">
        <v>653.1</v>
      </c>
      <c r="AA31" s="829">
        <v>0</v>
      </c>
      <c r="AB31" s="719"/>
      <c r="AC31" s="1435">
        <f ca="1"/>
        <v>-695.5</v>
      </c>
      <c r="AD31" s="1436">
        <f ca="1"/>
        <v>200</v>
      </c>
      <c r="AE31" s="1441">
        <f ca="1">AD31*ID_M*GBpScale</f>
        <v>174160</v>
      </c>
      <c r="AF31" s="1442">
        <f ca="1">IFERROR(AD31*(ID_M+AC31)*GBpScale,0)</f>
        <v>35059.999999999993</v>
      </c>
      <c r="AG31" s="1447"/>
      <c r="AH31" s="1448"/>
      <c r="AI31" s="1453">
        <f ca="1">AG31*ID_M*GBpScale</f>
        <v>0</v>
      </c>
      <c r="AJ31" s="1454">
        <f ca="1">IFERROR(AG31*(ID_M-AH31)*GBpScale,0)</f>
        <v>0</v>
      </c>
    </row>
    <row r="32" spans="1:36" x14ac:dyDescent="0.3">
      <c r="A32" s="82"/>
      <c r="B32" s="82"/>
      <c r="C32" s="574">
        <v>200</v>
      </c>
      <c r="D32" s="571">
        <v>-761.4</v>
      </c>
      <c r="E32" s="570">
        <v>0</v>
      </c>
      <c r="F32" s="821">
        <v>0</v>
      </c>
      <c r="G32" s="572">
        <f>IF(TabFIFO[[#This Row],[Price]]&gt;0,TabFIFO[[#This Row],[Number]]*TabFIFO[[#This Row],[Price]],0)*(1-Commission)</f>
        <v>0</v>
      </c>
      <c r="H32" s="572">
        <f>IF(TabFIFO[[#This Row],[Price]]&lt;0,TabFIFO[[#This Row],[Number]]*TabFIFO[[#This Row],[Price]],0)*(1+Commission)</f>
        <v>-152675.92799999999</v>
      </c>
      <c r="I32" s="579">
        <f ca="1">TabFIFO[[#This Row],[Remaining]]*ID_M</f>
        <v>0</v>
      </c>
      <c r="J32" s="1415"/>
      <c r="L32" s="914"/>
      <c r="M32" s="915"/>
      <c r="N32" s="840"/>
      <c r="O32" s="913"/>
      <c r="P32" s="362"/>
      <c r="Q32" s="828">
        <v>706.2</v>
      </c>
      <c r="R32" s="1221">
        <v>0</v>
      </c>
      <c r="S32" s="1222"/>
      <c r="T32" s="1222">
        <f t="shared" si="1"/>
        <v>0</v>
      </c>
      <c r="U32" s="1223">
        <f ca="1"/>
        <v>690.9</v>
      </c>
      <c r="V32" s="829">
        <f ca="1"/>
        <v>300</v>
      </c>
      <c r="W32" s="829">
        <f ca="1"/>
        <v>0</v>
      </c>
      <c r="X32" s="829">
        <f ca="1"/>
        <v>0</v>
      </c>
      <c r="Y32" s="828">
        <f t="shared" ca="1" si="0"/>
        <v>690.9</v>
      </c>
      <c r="Z32" s="362">
        <v>653.70000000000005</v>
      </c>
      <c r="AA32" s="829">
        <v>0</v>
      </c>
      <c r="AB32" s="719"/>
      <c r="AC32" s="1435">
        <f ca="1"/>
        <v>-706.6</v>
      </c>
      <c r="AD32" s="1436">
        <f ca="1"/>
        <v>100</v>
      </c>
      <c r="AE32" s="1441">
        <f ca="1">AD32*ID_M*GBpScale</f>
        <v>87080</v>
      </c>
      <c r="AF32" s="1442">
        <f ca="1">IFERROR(AD32*(ID_M+AC32)*GBpScale,0)</f>
        <v>16419.999999999993</v>
      </c>
      <c r="AG32" s="1447"/>
      <c r="AH32" s="1448"/>
      <c r="AI32" s="1453">
        <f ca="1">AG32*ID_M*GBpScale</f>
        <v>0</v>
      </c>
      <c r="AJ32" s="1454">
        <f ca="1">IFERROR(AG32*(ID_M-AH32)*GBpScale,0)</f>
        <v>0</v>
      </c>
    </row>
    <row r="33" spans="1:36" x14ac:dyDescent="0.3">
      <c r="A33" s="82"/>
      <c r="B33" s="82"/>
      <c r="C33" s="574">
        <v>500</v>
      </c>
      <c r="D33" s="571">
        <v>-653.1</v>
      </c>
      <c r="E33" s="570">
        <v>0</v>
      </c>
      <c r="F33" s="821">
        <v>0</v>
      </c>
      <c r="G33" s="572">
        <f>IF(TabFIFO[[#This Row],[Price]]&gt;0,TabFIFO[[#This Row],[Number]]*TabFIFO[[#This Row],[Price]],0)*(1-Commission)</f>
        <v>0</v>
      </c>
      <c r="H33" s="572">
        <f>IF(TabFIFO[[#This Row],[Price]]&lt;0,TabFIFO[[#This Row],[Number]]*TabFIFO[[#This Row],[Price]],0)*(1+Commission)</f>
        <v>-327399.02999999997</v>
      </c>
      <c r="I33" s="579">
        <f ca="1">TabFIFO[[#This Row],[Remaining]]*ID_M</f>
        <v>0</v>
      </c>
      <c r="J33" s="1415"/>
      <c r="L33" s="914"/>
      <c r="M33" s="915"/>
      <c r="N33" s="840"/>
      <c r="O33" s="913"/>
      <c r="P33" s="362"/>
      <c r="Q33" s="828">
        <v>715.55</v>
      </c>
      <c r="R33" s="1221">
        <v>0</v>
      </c>
      <c r="S33" s="1222"/>
      <c r="T33" s="1222">
        <f t="shared" si="1"/>
        <v>0</v>
      </c>
      <c r="U33" s="1223">
        <f ca="1"/>
        <v>695.5</v>
      </c>
      <c r="V33" s="829">
        <f ca="1"/>
        <v>200</v>
      </c>
      <c r="W33" s="829">
        <f ca="1"/>
        <v>0</v>
      </c>
      <c r="X33" s="829">
        <f ca="1"/>
        <v>0</v>
      </c>
      <c r="Y33" s="828">
        <f t="shared" ca="1" si="0"/>
        <v>695.5</v>
      </c>
      <c r="Z33" s="362">
        <v>690.9</v>
      </c>
      <c r="AA33" s="829">
        <v>300</v>
      </c>
      <c r="AB33" s="719"/>
      <c r="AC33" s="1435">
        <f ca="1"/>
        <v>-717.1</v>
      </c>
      <c r="AD33" s="1436">
        <f ca="1"/>
        <v>100</v>
      </c>
      <c r="AE33" s="1441">
        <f ca="1">AD33*ID_M*GBpScale</f>
        <v>87080</v>
      </c>
      <c r="AF33" s="1442">
        <f ca="1">IFERROR(AD33*(ID_M+AC33)*GBpScale,0)</f>
        <v>15369.999999999993</v>
      </c>
      <c r="AG33" s="1447"/>
      <c r="AH33" s="1448"/>
      <c r="AI33" s="1453">
        <f ca="1">AG33*ID_M*GBpScale</f>
        <v>0</v>
      </c>
      <c r="AJ33" s="1454">
        <f ca="1">IFERROR(AG33*(ID_M-AH33)*GBpScale,0)</f>
        <v>0</v>
      </c>
    </row>
    <row r="34" spans="1:36" x14ac:dyDescent="0.3">
      <c r="A34" s="82"/>
      <c r="B34" s="82"/>
      <c r="C34" s="574">
        <v>1000</v>
      </c>
      <c r="D34" s="571">
        <v>-653.70000000000005</v>
      </c>
      <c r="E34" s="570">
        <v>0</v>
      </c>
      <c r="F34" s="821">
        <v>0</v>
      </c>
      <c r="G34" s="572">
        <f>IF(TabFIFO[[#This Row],[Price]]&gt;0,TabFIFO[[#This Row],[Number]]*TabFIFO[[#This Row],[Price]],0)*(1-Commission)</f>
        <v>0</v>
      </c>
      <c r="H34" s="572">
        <f>IF(TabFIFO[[#This Row],[Price]]&lt;0,TabFIFO[[#This Row],[Number]]*TabFIFO[[#This Row],[Price]],0)*(1+Commission)</f>
        <v>-655399.62</v>
      </c>
      <c r="I34" s="579">
        <f ca="1">TabFIFO[[#This Row],[Remaining]]*ID_M</f>
        <v>0</v>
      </c>
      <c r="J34" s="1415"/>
      <c r="L34" s="914"/>
      <c r="M34" s="915"/>
      <c r="N34" s="840"/>
      <c r="O34" s="913"/>
      <c r="P34" s="362"/>
      <c r="Q34" s="828">
        <v>701.05</v>
      </c>
      <c r="R34" s="1221">
        <v>0</v>
      </c>
      <c r="S34" s="1222"/>
      <c r="T34" s="1222">
        <f t="shared" si="1"/>
        <v>0</v>
      </c>
      <c r="U34" s="1223">
        <f ca="1"/>
        <v>701.05</v>
      </c>
      <c r="V34" s="829">
        <f ca="1"/>
        <v>0</v>
      </c>
      <c r="W34" s="829">
        <f ca="1"/>
        <v>0</v>
      </c>
      <c r="X34" s="829">
        <f ca="1"/>
        <v>0</v>
      </c>
      <c r="Y34" s="828">
        <f t="shared" ca="1" si="0"/>
        <v>701.05</v>
      </c>
      <c r="Z34" s="362">
        <v>695.5</v>
      </c>
      <c r="AA34" s="829">
        <v>200</v>
      </c>
      <c r="AB34" s="719"/>
      <c r="AC34" s="1435">
        <f ca="1"/>
        <v>-724.24</v>
      </c>
      <c r="AD34" s="1436">
        <f ca="1"/>
        <v>100</v>
      </c>
      <c r="AE34" s="1441">
        <f ca="1">AD34*ID_M*GBpScale</f>
        <v>87080</v>
      </c>
      <c r="AF34" s="1442">
        <f ca="1">IFERROR(AD34*(ID_M+AC34)*GBpScale,0)</f>
        <v>14655.999999999995</v>
      </c>
      <c r="AG34" s="1447"/>
      <c r="AH34" s="1448"/>
      <c r="AI34" s="1453">
        <f ca="1">AG34*ID_M*GBpScale</f>
        <v>0</v>
      </c>
      <c r="AJ34" s="1454">
        <f ca="1">IFERROR(AG34*(ID_M-AH34)*GBpScale,0)</f>
        <v>0</v>
      </c>
    </row>
    <row r="35" spans="1:36" x14ac:dyDescent="0.3">
      <c r="A35" s="82"/>
      <c r="B35" s="82"/>
      <c r="C35" s="574">
        <v>200</v>
      </c>
      <c r="D35" s="571">
        <v>729.45</v>
      </c>
      <c r="E35" s="570"/>
      <c r="F35" s="821">
        <v>-30058.399999999994</v>
      </c>
      <c r="G35" s="572">
        <f>IF(TabFIFO[[#This Row],[Price]]&gt;0,TabFIFO[[#This Row],[Number]]*TabFIFO[[#This Row],[Price]],0)*(1-Commission)</f>
        <v>145510.68599999999</v>
      </c>
      <c r="H35" s="572">
        <f>IF(TabFIFO[[#This Row],[Price]]&lt;0,TabFIFO[[#This Row],[Number]]*TabFIFO[[#This Row],[Price]],0)*(1+Commission)</f>
        <v>0</v>
      </c>
      <c r="I35" s="579">
        <f ca="1">TabFIFO[[#This Row],[Remaining]]*ID_M</f>
        <v>0</v>
      </c>
      <c r="J35" s="1415"/>
      <c r="L35" s="914"/>
      <c r="M35" s="915"/>
      <c r="N35" s="840"/>
      <c r="O35" s="913"/>
      <c r="P35" s="362"/>
      <c r="Q35" s="828">
        <v>647.1</v>
      </c>
      <c r="R35" s="362">
        <v>0</v>
      </c>
      <c r="S35" s="1222"/>
      <c r="T35" s="1222">
        <f t="shared" si="1"/>
        <v>0</v>
      </c>
      <c r="U35" s="1223">
        <f ca="1"/>
        <v>706.2</v>
      </c>
      <c r="V35" s="829">
        <f ca="1"/>
        <v>0</v>
      </c>
      <c r="W35" s="829">
        <f ca="1"/>
        <v>0</v>
      </c>
      <c r="X35" s="829">
        <f ca="1"/>
        <v>0</v>
      </c>
      <c r="Y35" s="828">
        <f t="shared" ca="1" si="0"/>
        <v>706.2</v>
      </c>
      <c r="Z35" s="362">
        <v>701.05</v>
      </c>
      <c r="AA35" s="829">
        <v>0</v>
      </c>
      <c r="AB35" s="719"/>
      <c r="AC35" s="1435">
        <f ca="1"/>
        <v>-804.9</v>
      </c>
      <c r="AD35" s="1436">
        <f ca="1"/>
        <v>200</v>
      </c>
      <c r="AE35" s="1441">
        <f ca="1">AD35*ID_M*GBpScale</f>
        <v>174160</v>
      </c>
      <c r="AF35" s="1442">
        <f ca="1">IFERROR(AD35*(ID_M+AC35)*GBpScale,0)</f>
        <v>13179.999999999996</v>
      </c>
      <c r="AG35" s="1447"/>
      <c r="AH35" s="1448"/>
      <c r="AI35" s="1453">
        <f ca="1">AG35*ID_M*GBpScale</f>
        <v>0</v>
      </c>
      <c r="AJ35" s="1454">
        <f ca="1">IFERROR(AG35*(ID_M-AH35)*GBpScale,0)</f>
        <v>0</v>
      </c>
    </row>
    <row r="36" spans="1:36" x14ac:dyDescent="0.3">
      <c r="A36" s="82"/>
      <c r="B36" s="82"/>
      <c r="C36" s="574">
        <v>200</v>
      </c>
      <c r="D36" s="571">
        <v>-706.2</v>
      </c>
      <c r="E36" s="570">
        <v>0</v>
      </c>
      <c r="F36" s="821">
        <v>0</v>
      </c>
      <c r="G36" s="572">
        <f>IF(TabFIFO[[#This Row],[Price]]&gt;0,TabFIFO[[#This Row],[Number]]*TabFIFO[[#This Row],[Price]],0)*(1-Commission)</f>
        <v>0</v>
      </c>
      <c r="H36" s="572">
        <f>IF(TabFIFO[[#This Row],[Price]]&lt;0,TabFIFO[[#This Row],[Number]]*TabFIFO[[#This Row],[Price]],0)*(1+Commission)</f>
        <v>-141607.22399999999</v>
      </c>
      <c r="I36" s="579">
        <f ca="1">TabFIFO[[#This Row],[Remaining]]*ID_M</f>
        <v>0</v>
      </c>
      <c r="J36" s="82"/>
      <c r="L36" s="914"/>
      <c r="M36" s="915"/>
      <c r="N36" s="840"/>
      <c r="O36" s="913"/>
      <c r="P36" s="362"/>
      <c r="Q36" s="828">
        <v>724.24</v>
      </c>
      <c r="R36" s="1221">
        <v>100</v>
      </c>
      <c r="S36" s="1222"/>
      <c r="T36" s="1222">
        <f t="shared" si="1"/>
        <v>0</v>
      </c>
      <c r="U36" s="1223">
        <f ca="1"/>
        <v>706.6</v>
      </c>
      <c r="V36" s="829">
        <f ca="1"/>
        <v>100</v>
      </c>
      <c r="W36" s="829">
        <f ca="1"/>
        <v>0</v>
      </c>
      <c r="X36" s="829">
        <f ca="1"/>
        <v>0</v>
      </c>
      <c r="Y36" s="828">
        <f t="shared" ca="1" si="0"/>
        <v>706.6</v>
      </c>
      <c r="Z36" s="362">
        <v>706.2</v>
      </c>
      <c r="AA36" s="829">
        <v>0</v>
      </c>
      <c r="AB36" s="719"/>
      <c r="AC36" s="1435">
        <f ca="1"/>
        <v>-813.9</v>
      </c>
      <c r="AD36" s="1436">
        <f ca="1"/>
        <v>200</v>
      </c>
      <c r="AE36" s="1441">
        <f ca="1">AD36*ID_M*GBpScale</f>
        <v>174160</v>
      </c>
      <c r="AF36" s="1442">
        <f ca="1">IFERROR(AD36*(ID_M+AC36)*GBpScale,0)</f>
        <v>11379.999999999996</v>
      </c>
      <c r="AG36" s="1447"/>
      <c r="AH36" s="1448"/>
      <c r="AI36" s="1453">
        <f ca="1">AG36*ID_M*GBpScale</f>
        <v>0</v>
      </c>
      <c r="AJ36" s="1454">
        <f ca="1">IFERROR(AG36*(ID_M-AH36)*GBpScale,0)</f>
        <v>0</v>
      </c>
    </row>
    <row r="37" spans="1:36" x14ac:dyDescent="0.3">
      <c r="A37" s="82"/>
      <c r="B37" s="82"/>
      <c r="C37" s="574">
        <v>500</v>
      </c>
      <c r="D37" s="571">
        <v>745.4</v>
      </c>
      <c r="E37" s="570"/>
      <c r="F37" s="821">
        <v>-57543.5</v>
      </c>
      <c r="G37" s="572">
        <f>IF(TabFIFO[[#This Row],[Price]]&gt;0,TabFIFO[[#This Row],[Number]]*TabFIFO[[#This Row],[Price]],0)*(1-Commission)</f>
        <v>371730.98</v>
      </c>
      <c r="H37" s="572">
        <f>IF(TabFIFO[[#This Row],[Price]]&lt;0,TabFIFO[[#This Row],[Number]]*TabFIFO[[#This Row],[Price]],0)*(1+Commission)</f>
        <v>0</v>
      </c>
      <c r="I37" s="579">
        <f ca="1">TabFIFO[[#This Row],[Remaining]]*ID_M</f>
        <v>0</v>
      </c>
      <c r="L37" s="914"/>
      <c r="M37" s="915"/>
      <c r="N37" s="840"/>
      <c r="O37" s="913"/>
      <c r="P37" s="362"/>
      <c r="Q37" s="828">
        <v>717.1</v>
      </c>
      <c r="R37" s="1221">
        <v>100</v>
      </c>
      <c r="S37" s="1222"/>
      <c r="T37" s="1222">
        <f t="shared" si="1"/>
        <v>0</v>
      </c>
      <c r="U37" s="1223">
        <f ca="1"/>
        <v>715.55</v>
      </c>
      <c r="V37" s="829">
        <f ca="1"/>
        <v>0</v>
      </c>
      <c r="W37" s="829">
        <f ca="1"/>
        <v>0</v>
      </c>
      <c r="X37" s="829">
        <f ca="1"/>
        <v>0</v>
      </c>
      <c r="Y37" s="828">
        <f t="shared" ca="1" si="0"/>
        <v>715.55</v>
      </c>
      <c r="Z37" s="362">
        <v>706.6</v>
      </c>
      <c r="AA37" s="829">
        <v>100</v>
      </c>
      <c r="AB37" s="719"/>
      <c r="AC37" s="1435"/>
      <c r="AD37" s="1436"/>
      <c r="AE37" s="1441">
        <f ca="1">AD37*ID_M*GBpScale</f>
        <v>0</v>
      </c>
      <c r="AF37" s="1442">
        <f ca="1">IFERROR(AD37*(ID_M+AC37)*GBpScale,0)</f>
        <v>0</v>
      </c>
      <c r="AG37" s="1447"/>
      <c r="AH37" s="1448"/>
      <c r="AI37" s="1453">
        <f ca="1">AG37*ID_M*GBpScale</f>
        <v>0</v>
      </c>
      <c r="AJ37" s="1454">
        <f ca="1">IFERROR(AG37*(ID_M-AH37)*GBpScale,0)</f>
        <v>0</v>
      </c>
    </row>
    <row r="38" spans="1:36" x14ac:dyDescent="0.3">
      <c r="A38" s="82"/>
      <c r="B38" s="82"/>
      <c r="C38" s="574">
        <v>200</v>
      </c>
      <c r="D38" s="571">
        <v>748.4</v>
      </c>
      <c r="E38" s="570"/>
      <c r="F38" s="821">
        <v>-21740</v>
      </c>
      <c r="G38" s="572">
        <f>IF(TabFIFO[[#This Row],[Price]]&gt;0,TabFIFO[[#This Row],[Number]]*TabFIFO[[#This Row],[Price]],0)*(1-Commission)</f>
        <v>149290.83199999999</v>
      </c>
      <c r="H38" s="572">
        <f>IF(TabFIFO[[#This Row],[Price]]&lt;0,TabFIFO[[#This Row],[Number]]*TabFIFO[[#This Row],[Price]],0)*(1+Commission)</f>
        <v>0</v>
      </c>
      <c r="I38" s="579">
        <f ca="1">TabFIFO[[#This Row],[Remaining]]*ID_M</f>
        <v>0</v>
      </c>
      <c r="L38" s="914"/>
      <c r="M38" s="915"/>
      <c r="N38" s="916"/>
      <c r="O38" s="913"/>
      <c r="P38" s="362"/>
      <c r="Q38" s="828">
        <v>706.6</v>
      </c>
      <c r="R38" s="1221">
        <v>100</v>
      </c>
      <c r="S38" s="1222"/>
      <c r="T38" s="1222"/>
      <c r="U38" s="362">
        <f ca="1"/>
        <v>717.1</v>
      </c>
      <c r="V38" s="362">
        <f ca="1"/>
        <v>100</v>
      </c>
      <c r="W38" s="362">
        <f ca="1"/>
        <v>0</v>
      </c>
      <c r="X38" s="362">
        <f ca="1"/>
        <v>0</v>
      </c>
      <c r="Y38" s="828">
        <f t="shared" ca="1" si="0"/>
        <v>717.1</v>
      </c>
      <c r="Z38" s="362">
        <v>715.55</v>
      </c>
      <c r="AA38" s="829">
        <v>0</v>
      </c>
      <c r="AB38" s="719"/>
      <c r="AC38" s="1435"/>
      <c r="AD38" s="1436"/>
      <c r="AE38" s="1441">
        <f ca="1">AD38*ID_M*GBpScale</f>
        <v>0</v>
      </c>
      <c r="AF38" s="1442">
        <f ca="1">IFERROR(AD38*(ID_M+AC38)*GBpScale,0)</f>
        <v>0</v>
      </c>
      <c r="AG38" s="1447"/>
      <c r="AH38" s="1448"/>
      <c r="AI38" s="1453">
        <f ca="1">AG38*ID_M*GBpScale</f>
        <v>0</v>
      </c>
      <c r="AJ38" s="1454">
        <f ca="1">IFERROR(AG38*(ID_M-AH38)*GBpScale,0)</f>
        <v>0</v>
      </c>
    </row>
    <row r="39" spans="1:36" x14ac:dyDescent="0.3">
      <c r="A39" s="82"/>
      <c r="B39" s="82"/>
      <c r="C39" s="574">
        <v>200</v>
      </c>
      <c r="D39" s="571">
        <v>-715.55</v>
      </c>
      <c r="E39" s="570">
        <v>0</v>
      </c>
      <c r="F39" s="821">
        <v>0</v>
      </c>
      <c r="G39" s="572">
        <f>IF(TabFIFO[[#This Row],[Price]]&gt;0,TabFIFO[[#This Row],[Number]]*TabFIFO[[#This Row],[Price]],0)*(1-Commission)</f>
        <v>0</v>
      </c>
      <c r="H39" s="572">
        <f>IF(TabFIFO[[#This Row],[Price]]&lt;0,TabFIFO[[#This Row],[Number]]*TabFIFO[[#This Row],[Price]],0)*(1+Commission)</f>
        <v>-143482.08599999998</v>
      </c>
      <c r="I39" s="579">
        <f ca="1">TabFIFO[[#This Row],[Remaining]]*ID_M</f>
        <v>0</v>
      </c>
      <c r="L39" s="914"/>
      <c r="M39" s="915"/>
      <c r="N39" s="916"/>
      <c r="O39" s="913"/>
      <c r="P39" s="362"/>
      <c r="Q39" s="828">
        <v>690.9</v>
      </c>
      <c r="R39" s="1221">
        <v>300</v>
      </c>
      <c r="S39" s="1222"/>
      <c r="T39" s="1222"/>
      <c r="U39" s="362">
        <f ca="1"/>
        <v>724.24</v>
      </c>
      <c r="V39" s="362">
        <f ca="1"/>
        <v>100</v>
      </c>
      <c r="W39" s="362">
        <f ca="1"/>
        <v>0</v>
      </c>
      <c r="X39" s="362">
        <f ca="1"/>
        <v>0</v>
      </c>
      <c r="Y39" s="828">
        <f t="shared" ca="1" si="0"/>
        <v>724.24</v>
      </c>
      <c r="Z39" s="362">
        <v>717.1</v>
      </c>
      <c r="AA39" s="829">
        <v>100</v>
      </c>
      <c r="AB39" s="719"/>
      <c r="AC39" s="1435"/>
      <c r="AD39" s="1436"/>
      <c r="AE39" s="1441">
        <f ca="1">AD39*ID_M*GBpScale</f>
        <v>0</v>
      </c>
      <c r="AF39" s="1442">
        <f ca="1">IFERROR(AD39*(ID_M+AC39)*GBpScale,0)</f>
        <v>0</v>
      </c>
      <c r="AG39" s="1447"/>
      <c r="AH39" s="1448"/>
      <c r="AI39" s="1453">
        <f ca="1">AG39*ID_M*GBpScale</f>
        <v>0</v>
      </c>
      <c r="AJ39" s="1454">
        <f ca="1">IFERROR(AG39*(ID_M-AH39)*GBpScale,0)</f>
        <v>0</v>
      </c>
    </row>
    <row r="40" spans="1:36" x14ac:dyDescent="0.3">
      <c r="A40" s="82"/>
      <c r="B40" s="82"/>
      <c r="C40" s="574">
        <v>500</v>
      </c>
      <c r="D40" s="571">
        <v>-701.05</v>
      </c>
      <c r="E40" s="570">
        <v>0</v>
      </c>
      <c r="F40" s="821">
        <v>0</v>
      </c>
      <c r="G40" s="572">
        <f>IF(TabFIFO[[#This Row],[Price]]&gt;0,TabFIFO[[#This Row],[Number]]*TabFIFO[[#This Row],[Price]],0)*(1-Commission)</f>
        <v>0</v>
      </c>
      <c r="H40" s="572">
        <f>IF(TabFIFO[[#This Row],[Price]]&lt;0,TabFIFO[[#This Row],[Number]]*TabFIFO[[#This Row],[Price]],0)*(1+Commission)</f>
        <v>-351436.36499999999</v>
      </c>
      <c r="I40" s="579">
        <f ca="1">TabFIFO[[#This Row],[Remaining]]*ID_M</f>
        <v>0</v>
      </c>
      <c r="L40" s="914"/>
      <c r="M40" s="915"/>
      <c r="N40" s="916"/>
      <c r="O40" s="913"/>
      <c r="P40" s="362"/>
      <c r="Q40" s="828">
        <v>632.79999999999995</v>
      </c>
      <c r="R40" s="1221">
        <v>300</v>
      </c>
      <c r="S40" s="1222"/>
      <c r="T40" s="1222"/>
      <c r="U40" s="362">
        <f ca="1"/>
        <v>761.4</v>
      </c>
      <c r="V40" s="362">
        <f ca="1"/>
        <v>0</v>
      </c>
      <c r="W40" s="362">
        <f ca="1"/>
        <v>0</v>
      </c>
      <c r="X40" s="362">
        <f ca="1"/>
        <v>0</v>
      </c>
      <c r="Y40" s="828">
        <f t="shared" ca="1" si="0"/>
        <v>761.4</v>
      </c>
      <c r="Z40" s="362">
        <v>724.24</v>
      </c>
      <c r="AA40" s="829">
        <v>100</v>
      </c>
      <c r="AB40" s="719"/>
      <c r="AC40" s="1435"/>
      <c r="AD40" s="1436"/>
      <c r="AE40" s="1441">
        <f ca="1">AD40*ID_M*GBpScale</f>
        <v>0</v>
      </c>
      <c r="AF40" s="1442">
        <f ca="1">IFERROR(AD40*(ID_M+AC40)*GBpScale,0)</f>
        <v>0</v>
      </c>
      <c r="AG40" s="1447"/>
      <c r="AH40" s="1448"/>
      <c r="AI40" s="1453">
        <f ca="1">AG40*ID_M*GBpScale</f>
        <v>0</v>
      </c>
      <c r="AJ40" s="1454">
        <f ca="1">IFERROR(AG40*(ID_M-AH40)*GBpScale,0)</f>
        <v>0</v>
      </c>
    </row>
    <row r="41" spans="1:36" x14ac:dyDescent="0.3">
      <c r="A41" s="82"/>
      <c r="B41" s="82"/>
      <c r="C41" s="574">
        <v>200</v>
      </c>
      <c r="D41" s="571">
        <v>-647.1</v>
      </c>
      <c r="E41" s="570">
        <v>0</v>
      </c>
      <c r="F41" s="821">
        <v>0</v>
      </c>
      <c r="G41" s="572">
        <f>IF(TabFIFO[[#This Row],[Price]]&gt;0,TabFIFO[[#This Row],[Number]]*TabFIFO[[#This Row],[Price]],0)*(1-Commission)</f>
        <v>0</v>
      </c>
      <c r="H41" s="572">
        <f>IF(TabFIFO[[#This Row],[Price]]&lt;0,TabFIFO[[#This Row],[Number]]*TabFIFO[[#This Row],[Price]],0)*(1+Commission)</f>
        <v>-129756.492</v>
      </c>
      <c r="I41" s="579">
        <f ca="1">TabFIFO[[#This Row],[Remaining]]*ID_M</f>
        <v>0</v>
      </c>
      <c r="L41" s="914"/>
      <c r="M41" s="915"/>
      <c r="N41" s="916"/>
      <c r="O41" s="913"/>
      <c r="P41" s="362"/>
      <c r="Q41" s="828">
        <v>647.29999999999995</v>
      </c>
      <c r="R41" s="1221">
        <v>300</v>
      </c>
      <c r="S41" s="1222"/>
      <c r="T41" s="1222"/>
      <c r="U41" s="362">
        <f ca="1"/>
        <v>763.5</v>
      </c>
      <c r="V41" s="362">
        <f ca="1"/>
        <v>0</v>
      </c>
      <c r="W41" s="362">
        <f ca="1"/>
        <v>0</v>
      </c>
      <c r="X41" s="362">
        <f ca="1"/>
        <v>0</v>
      </c>
      <c r="Y41" s="828">
        <f t="shared" ca="1" si="0"/>
        <v>763.5</v>
      </c>
      <c r="Z41" s="362">
        <v>761.4</v>
      </c>
      <c r="AA41" s="829">
        <v>0</v>
      </c>
      <c r="AB41" s="719"/>
      <c r="AC41" s="1435"/>
      <c r="AD41" s="1436"/>
      <c r="AE41" s="1441">
        <f ca="1">AD41*ID_M*GBpScale</f>
        <v>0</v>
      </c>
      <c r="AF41" s="1442">
        <f ca="1">IFERROR(AD41*(ID_M+AC41)*GBpScale,0)</f>
        <v>0</v>
      </c>
      <c r="AG41" s="1447"/>
      <c r="AH41" s="1448"/>
      <c r="AI41" s="1453">
        <f ca="1">AG41*ID_M*GBpScale</f>
        <v>0</v>
      </c>
      <c r="AJ41" s="1454">
        <f ca="1">IFERROR(AG41*(ID_M-AH41)*GBpScale,0)</f>
        <v>0</v>
      </c>
    </row>
    <row r="42" spans="1:36" ht="23" thickBot="1" x14ac:dyDescent="0.35">
      <c r="A42" s="82"/>
      <c r="B42" s="82"/>
      <c r="C42" s="574">
        <v>100</v>
      </c>
      <c r="D42" s="571">
        <v>737.1</v>
      </c>
      <c r="E42" s="570"/>
      <c r="F42" s="821">
        <v>-12000</v>
      </c>
      <c r="G42" s="572">
        <f>IF(TabFIFO[[#This Row],[Price]]&gt;0,TabFIFO[[#This Row],[Number]]*TabFIFO[[#This Row],[Price]],0)*(1-Commission)</f>
        <v>73518.353999999992</v>
      </c>
      <c r="H42" s="572">
        <f>IF(TabFIFO[[#This Row],[Price]]&lt;0,TabFIFO[[#This Row],[Number]]*TabFIFO[[#This Row],[Price]],0)*(1+Commission)</f>
        <v>0</v>
      </c>
      <c r="I42" s="579">
        <f ca="1">TabFIFO[[#This Row],[Remaining]]*ID_M</f>
        <v>0</v>
      </c>
      <c r="L42" s="914"/>
      <c r="M42" s="915"/>
      <c r="N42" s="916"/>
      <c r="O42" s="913"/>
      <c r="P42" s="362"/>
      <c r="Q42" s="828">
        <v>603.79999999999995</v>
      </c>
      <c r="R42" s="1221">
        <v>200</v>
      </c>
      <c r="S42" s="1221"/>
      <c r="T42" s="1221"/>
      <c r="U42" s="362">
        <f ca="1"/>
        <v>791.4</v>
      </c>
      <c r="V42" s="362">
        <f ca="1"/>
        <v>0</v>
      </c>
      <c r="W42" s="362">
        <f ca="1"/>
        <v>0</v>
      </c>
      <c r="X42" s="362">
        <f ca="1"/>
        <v>0</v>
      </c>
      <c r="Y42" s="828">
        <f t="shared" ca="1" si="0"/>
        <v>791.4</v>
      </c>
      <c r="Z42" s="362">
        <v>763.5</v>
      </c>
      <c r="AA42" s="829">
        <v>0</v>
      </c>
      <c r="AB42" s="719"/>
      <c r="AC42" s="1437"/>
      <c r="AD42" s="1438"/>
      <c r="AE42" s="1443">
        <f ca="1">AD42*ID_M*GBpScale</f>
        <v>0</v>
      </c>
      <c r="AF42" s="1444">
        <f ca="1">IFERROR(AD42*(ID_M+AC42)*GBpScale,0)</f>
        <v>0</v>
      </c>
      <c r="AG42" s="1449"/>
      <c r="AH42" s="1450"/>
      <c r="AI42" s="1455">
        <f ca="1">AG42*ID_M*GBpScale</f>
        <v>0</v>
      </c>
      <c r="AJ42" s="1456">
        <f ca="1">IFERROR(AG42*(ID_M-AH42)*GBpScale,0)</f>
        <v>0</v>
      </c>
    </row>
    <row r="43" spans="1:36" x14ac:dyDescent="0.3">
      <c r="A43" s="82"/>
      <c r="B43" s="82"/>
      <c r="C43" s="574">
        <v>100</v>
      </c>
      <c r="D43" s="571">
        <v>-724.24</v>
      </c>
      <c r="E43" s="570">
        <v>100</v>
      </c>
      <c r="F43" s="821">
        <v>0</v>
      </c>
      <c r="G43" s="572">
        <f>IF(TabFIFO[[#This Row],[Price]]&gt;0,TabFIFO[[#This Row],[Number]]*TabFIFO[[#This Row],[Price]],0)*(1-Commission)</f>
        <v>0</v>
      </c>
      <c r="H43" s="572">
        <f>IF(TabFIFO[[#This Row],[Price]]&lt;0,TabFIFO[[#This Row],[Number]]*TabFIFO[[#This Row],[Price]],0)*(1+Commission)</f>
        <v>-72612.3024</v>
      </c>
      <c r="I43" s="579">
        <f ca="1">TabFIFO[[#This Row],[Remaining]]*ID_M</f>
        <v>87080</v>
      </c>
      <c r="L43" s="914"/>
      <c r="M43" s="915"/>
      <c r="N43" s="916"/>
      <c r="O43" s="913"/>
      <c r="P43" s="362"/>
      <c r="Q43" s="828">
        <v>695.5</v>
      </c>
      <c r="R43" s="1221">
        <v>200</v>
      </c>
      <c r="S43" s="1221"/>
      <c r="T43" s="1221"/>
      <c r="U43" s="362">
        <f ca="1"/>
        <v>804.9</v>
      </c>
      <c r="V43" s="362">
        <f ca="1"/>
        <v>200</v>
      </c>
      <c r="W43" s="362">
        <f ca="1"/>
        <v>0</v>
      </c>
      <c r="X43" s="362">
        <f ca="1"/>
        <v>0</v>
      </c>
      <c r="Y43" s="828">
        <f t="shared" ca="1" si="0"/>
        <v>804.9</v>
      </c>
      <c r="Z43" s="362">
        <v>791.4</v>
      </c>
      <c r="AA43" s="829">
        <v>0</v>
      </c>
      <c r="AB43" s="719"/>
      <c r="AE43" s="719">
        <f t="shared" ref="AE22:AE53" ca="1" si="2">AD43*ID_M</f>
        <v>0</v>
      </c>
      <c r="AF43" s="1427">
        <f t="shared" ref="AF23:AF54" ca="1" si="3">AD43*(ID_M+AC43)</f>
        <v>0</v>
      </c>
      <c r="AI43" s="719">
        <f t="shared" ref="AI22:AI53" ca="1" si="4">AH43*ID_M</f>
        <v>0</v>
      </c>
      <c r="AJ43" s="719">
        <f t="shared" ref="AJ23:AJ54" ca="1" si="5">AG43*(ID_M-AH43)</f>
        <v>0</v>
      </c>
    </row>
    <row r="44" spans="1:36" x14ac:dyDescent="0.3">
      <c r="A44" s="82"/>
      <c r="B44" s="82"/>
      <c r="C44" s="574">
        <v>100</v>
      </c>
      <c r="D44" s="571">
        <v>-717.1</v>
      </c>
      <c r="E44" s="570">
        <v>100</v>
      </c>
      <c r="F44" s="821">
        <v>0</v>
      </c>
      <c r="G44" s="572">
        <f>IF(TabFIFO[[#This Row],[Price]]&gt;0,TabFIFO[[#This Row],[Number]]*TabFIFO[[#This Row],[Price]],0)*(1-Commission)</f>
        <v>0</v>
      </c>
      <c r="H44" s="572">
        <f>IF(TabFIFO[[#This Row],[Price]]&lt;0,TabFIFO[[#This Row],[Number]]*TabFIFO[[#This Row],[Price]],0)*(1+Commission)</f>
        <v>-71896.445999999996</v>
      </c>
      <c r="I44" s="579">
        <f ca="1">TabFIFO[[#This Row],[Remaining]]*ID_M</f>
        <v>87080</v>
      </c>
      <c r="L44" s="914"/>
      <c r="M44" s="915"/>
      <c r="N44" s="916"/>
      <c r="O44" s="913"/>
      <c r="P44" s="362"/>
      <c r="Q44" s="828">
        <v>632.95000000000005</v>
      </c>
      <c r="R44" s="1221">
        <v>100</v>
      </c>
      <c r="S44" s="1221"/>
      <c r="T44" s="1221"/>
      <c r="U44" s="362">
        <f ca="1"/>
        <v>813.9</v>
      </c>
      <c r="V44" s="362">
        <f ca="1"/>
        <v>200</v>
      </c>
      <c r="W44" s="362">
        <f ca="1"/>
        <v>0</v>
      </c>
      <c r="X44" s="362">
        <f ca="1"/>
        <v>0</v>
      </c>
      <c r="Y44" s="828">
        <f t="shared" ca="1" si="0"/>
        <v>813.9</v>
      </c>
      <c r="Z44" s="362">
        <v>804.9</v>
      </c>
      <c r="AA44" s="829">
        <v>200</v>
      </c>
      <c r="AB44" s="719"/>
      <c r="AE44" s="719">
        <f t="shared" ca="1" si="2"/>
        <v>0</v>
      </c>
      <c r="AF44" s="1427">
        <f t="shared" ca="1" si="3"/>
        <v>0</v>
      </c>
      <c r="AI44" s="719">
        <f t="shared" ca="1" si="4"/>
        <v>0</v>
      </c>
      <c r="AJ44" s="719">
        <f t="shared" ca="1" si="5"/>
        <v>0</v>
      </c>
    </row>
    <row r="45" spans="1:36" x14ac:dyDescent="0.3">
      <c r="A45" s="82"/>
      <c r="B45" s="82"/>
      <c r="C45" s="574">
        <v>100</v>
      </c>
      <c r="D45" s="571">
        <v>-706.6</v>
      </c>
      <c r="E45" s="570">
        <v>100</v>
      </c>
      <c r="F45" s="821">
        <v>0</v>
      </c>
      <c r="G45" s="572">
        <f>IF(TabFIFO[[#This Row],[Price]]&gt;0,TabFIFO[[#This Row],[Number]]*TabFIFO[[#This Row],[Price]],0)*(1-Commission)</f>
        <v>0</v>
      </c>
      <c r="H45" s="572">
        <f>IF(TabFIFO[[#This Row],[Price]]&lt;0,TabFIFO[[#This Row],[Number]]*TabFIFO[[#This Row],[Price]],0)*(1+Commission)</f>
        <v>-70843.716</v>
      </c>
      <c r="I45" s="579">
        <f ca="1">TabFIFO[[#This Row],[Remaining]]*ID_M</f>
        <v>87080</v>
      </c>
      <c r="L45" s="914"/>
      <c r="M45" s="915"/>
      <c r="N45" s="916"/>
      <c r="O45" s="913"/>
      <c r="P45" s="362"/>
      <c r="Q45" s="828">
        <v>645.5</v>
      </c>
      <c r="R45" s="1221">
        <v>200</v>
      </c>
      <c r="S45" s="1221"/>
      <c r="T45" s="1221"/>
      <c r="U45" s="362">
        <f ca="1"/>
        <v>857.1</v>
      </c>
      <c r="V45" s="362">
        <f ca="1"/>
        <v>0</v>
      </c>
      <c r="W45" s="362">
        <f ca="1"/>
        <v>0</v>
      </c>
      <c r="X45" s="362">
        <f ca="1"/>
        <v>0</v>
      </c>
      <c r="Y45" s="828">
        <f t="shared" ca="1" si="0"/>
        <v>857.1</v>
      </c>
      <c r="Z45" s="362">
        <v>813.9</v>
      </c>
      <c r="AA45" s="829">
        <v>200</v>
      </c>
      <c r="AB45" s="719"/>
      <c r="AE45" s="719">
        <f t="shared" ca="1" si="2"/>
        <v>0</v>
      </c>
      <c r="AF45" s="1427">
        <f t="shared" ca="1" si="3"/>
        <v>0</v>
      </c>
      <c r="AI45" s="719">
        <f t="shared" ca="1" si="4"/>
        <v>0</v>
      </c>
      <c r="AJ45" s="719">
        <f t="shared" ca="1" si="5"/>
        <v>0</v>
      </c>
    </row>
    <row r="46" spans="1:36" x14ac:dyDescent="0.3">
      <c r="A46" s="82"/>
      <c r="C46" s="574">
        <v>300</v>
      </c>
      <c r="D46" s="571">
        <v>-690.9</v>
      </c>
      <c r="E46" s="570">
        <v>300</v>
      </c>
      <c r="F46" s="821">
        <v>0</v>
      </c>
      <c r="G46" s="572">
        <f>IF(TabFIFO[[#This Row],[Price]]&gt;0,TabFIFO[[#This Row],[Number]]*TabFIFO[[#This Row],[Price]],0)*(1-Commission)</f>
        <v>0</v>
      </c>
      <c r="H46" s="572">
        <f>IF(TabFIFO[[#This Row],[Price]]&lt;0,TabFIFO[[#This Row],[Number]]*TabFIFO[[#This Row],[Price]],0)*(1+Commission)</f>
        <v>-207808.90199999997</v>
      </c>
      <c r="I46" s="579">
        <f ca="1">TabFIFO[[#This Row],[Remaining]]*ID_M</f>
        <v>261240</v>
      </c>
      <c r="L46" s="914"/>
      <c r="M46" s="915"/>
      <c r="N46" s="916"/>
      <c r="O46" s="913"/>
      <c r="P46" s="362"/>
      <c r="Q46" s="828">
        <v>602.54999999999995</v>
      </c>
      <c r="R46" s="1221">
        <v>300</v>
      </c>
      <c r="S46" s="1221"/>
      <c r="T46" s="1221"/>
      <c r="U46" s="362">
        <f ca="1"/>
        <v>860.48699999999997</v>
      </c>
      <c r="V46" s="362">
        <f ca="1"/>
        <v>0</v>
      </c>
      <c r="W46" s="362">
        <f ca="1"/>
        <v>0</v>
      </c>
      <c r="X46" s="362">
        <f ca="1"/>
        <v>0</v>
      </c>
      <c r="Y46" s="828">
        <f t="shared" ca="1" si="0"/>
        <v>860.48699999999997</v>
      </c>
      <c r="Z46" s="362">
        <v>857.1</v>
      </c>
      <c r="AA46" s="829">
        <v>0</v>
      </c>
      <c r="AB46" s="719"/>
      <c r="AE46" s="719">
        <f t="shared" ca="1" si="2"/>
        <v>0</v>
      </c>
      <c r="AF46" s="1427">
        <f t="shared" ca="1" si="3"/>
        <v>0</v>
      </c>
      <c r="AI46" s="719">
        <f t="shared" ca="1" si="4"/>
        <v>0</v>
      </c>
      <c r="AJ46" s="719">
        <f t="shared" ca="1" si="5"/>
        <v>0</v>
      </c>
    </row>
    <row r="47" spans="1:36" ht="23" thickBot="1" x14ac:dyDescent="0.35">
      <c r="A47" s="82"/>
      <c r="B47" s="82"/>
      <c r="C47" s="574">
        <v>300</v>
      </c>
      <c r="D47" s="571">
        <v>-632.79999999999995</v>
      </c>
      <c r="E47" s="570">
        <v>300</v>
      </c>
      <c r="F47" s="821">
        <v>0</v>
      </c>
      <c r="G47" s="572">
        <f>IF(TabFIFO[[#This Row],[Price]]&gt;0,TabFIFO[[#This Row],[Number]]*TabFIFO[[#This Row],[Price]],0)*(1-Commission)</f>
        <v>0</v>
      </c>
      <c r="H47" s="572">
        <f>IF(TabFIFO[[#This Row],[Price]]&lt;0,TabFIFO[[#This Row],[Number]]*TabFIFO[[#This Row],[Price]],0)*(1+Commission)</f>
        <v>-190333.58399999997</v>
      </c>
      <c r="I47" s="579">
        <f ca="1">TabFIFO[[#This Row],[Remaining]]*ID_M</f>
        <v>261240</v>
      </c>
      <c r="L47" s="917"/>
      <c r="M47" s="918"/>
      <c r="N47" s="919"/>
      <c r="O47" s="920"/>
      <c r="P47" s="362"/>
      <c r="Q47" s="362">
        <v>599.29999999999995</v>
      </c>
      <c r="R47" s="1221">
        <v>500</v>
      </c>
      <c r="S47" s="1221"/>
      <c r="T47" s="1221"/>
      <c r="U47" s="362">
        <f ca="1"/>
        <v>870.8</v>
      </c>
      <c r="V47" s="362">
        <f ca="1"/>
        <v>0</v>
      </c>
      <c r="W47" s="362">
        <f ca="1"/>
        <v>0</v>
      </c>
      <c r="X47" s="362">
        <f ca="1"/>
        <v>500</v>
      </c>
      <c r="Y47" s="828">
        <f t="shared" ca="1" si="0"/>
        <v>870.8</v>
      </c>
      <c r="Z47" s="362">
        <v>860.48699999999997</v>
      </c>
      <c r="AA47" s="829">
        <v>0</v>
      </c>
      <c r="AB47" s="719"/>
      <c r="AE47" s="719">
        <f t="shared" ca="1" si="2"/>
        <v>0</v>
      </c>
      <c r="AF47" s="1427">
        <f t="shared" ca="1" si="3"/>
        <v>0</v>
      </c>
      <c r="AI47" s="719">
        <f t="shared" ca="1" si="4"/>
        <v>0</v>
      </c>
      <c r="AJ47" s="719">
        <f t="shared" ca="1" si="5"/>
        <v>0</v>
      </c>
    </row>
    <row r="48" spans="1:36" x14ac:dyDescent="0.3">
      <c r="A48" s="82"/>
      <c r="B48" s="82"/>
      <c r="C48" s="574">
        <v>300</v>
      </c>
      <c r="D48" s="571">
        <v>667.6</v>
      </c>
      <c r="E48" s="570"/>
      <c r="F48" s="821">
        <v>-47490</v>
      </c>
      <c r="G48" s="572">
        <f>IF(TabFIFO[[#This Row],[Price]]&gt;0,TabFIFO[[#This Row],[Number]]*TabFIFO[[#This Row],[Price]],0)*(1-Commission)</f>
        <v>199759.272</v>
      </c>
      <c r="H48" s="572">
        <f>IF(TabFIFO[[#This Row],[Price]]&lt;0,TabFIFO[[#This Row],[Number]]*TabFIFO[[#This Row],[Price]],0)*(1+Commission)</f>
        <v>0</v>
      </c>
      <c r="I48" s="579">
        <f ca="1">TabFIFO[[#This Row],[Remaining]]*ID_M</f>
        <v>0</v>
      </c>
      <c r="P48" s="362"/>
      <c r="Q48" s="362">
        <v>622.20000000000005</v>
      </c>
      <c r="R48" s="362">
        <v>500</v>
      </c>
      <c r="S48" s="362"/>
      <c r="T48" s="362"/>
      <c r="U48" s="362">
        <f ca="1"/>
        <v>879.74199999999996</v>
      </c>
      <c r="V48" s="362">
        <f ca="1"/>
        <v>0</v>
      </c>
      <c r="W48" s="362">
        <f ca="1"/>
        <v>0</v>
      </c>
      <c r="X48" s="362">
        <f ca="1"/>
        <v>0</v>
      </c>
      <c r="Y48" s="828">
        <f t="shared" ca="1" si="0"/>
        <v>879.74199999999996</v>
      </c>
      <c r="Z48" s="362">
        <v>879.74199999999996</v>
      </c>
      <c r="AA48" s="362">
        <v>0</v>
      </c>
      <c r="AB48" s="719"/>
      <c r="AE48" s="719">
        <f t="shared" ca="1" si="2"/>
        <v>0</v>
      </c>
      <c r="AF48" s="1427">
        <f t="shared" ca="1" si="3"/>
        <v>0</v>
      </c>
      <c r="AI48" s="719">
        <f t="shared" ca="1" si="4"/>
        <v>0</v>
      </c>
      <c r="AJ48" s="719">
        <f t="shared" ca="1" si="5"/>
        <v>0</v>
      </c>
    </row>
    <row r="49" spans="1:36" x14ac:dyDescent="0.3">
      <c r="A49" s="82"/>
      <c r="C49" s="574">
        <v>300</v>
      </c>
      <c r="D49" s="571">
        <v>-647.29999999999995</v>
      </c>
      <c r="E49" s="570">
        <v>300</v>
      </c>
      <c r="F49" s="821">
        <v>0</v>
      </c>
      <c r="G49" s="572">
        <f>IF(TabFIFO[[#This Row],[Price]]&gt;0,TabFIFO[[#This Row],[Number]]*TabFIFO[[#This Row],[Price]],0)*(1-Commission)</f>
        <v>0</v>
      </c>
      <c r="H49" s="572">
        <f>IF(TabFIFO[[#This Row],[Price]]&lt;0,TabFIFO[[#This Row],[Number]]*TabFIFO[[#This Row],[Price]],0)*(1+Commission)</f>
        <v>-194694.894</v>
      </c>
      <c r="I49" s="579">
        <f ca="1">TabFIFO[[#This Row],[Remaining]]*ID_M</f>
        <v>261240</v>
      </c>
      <c r="P49" s="362"/>
      <c r="Q49" s="362">
        <v>804.9</v>
      </c>
      <c r="R49" s="362">
        <v>200</v>
      </c>
      <c r="S49" s="362"/>
      <c r="T49" s="362"/>
      <c r="U49" s="362">
        <f ca="1"/>
        <v>896.1</v>
      </c>
      <c r="V49" s="362">
        <f ca="1"/>
        <v>0</v>
      </c>
      <c r="W49" s="362">
        <f ca="1"/>
        <v>0</v>
      </c>
      <c r="X49" s="362">
        <f ca="1"/>
        <v>0</v>
      </c>
      <c r="Y49" s="828">
        <f t="shared" ca="1" si="0"/>
        <v>896.1</v>
      </c>
      <c r="Z49" s="362">
        <v>896.1</v>
      </c>
      <c r="AA49" s="362">
        <v>0</v>
      </c>
      <c r="AB49" s="719"/>
      <c r="AE49" s="719">
        <f t="shared" ca="1" si="2"/>
        <v>0</v>
      </c>
      <c r="AF49" s="1427">
        <f t="shared" ca="1" si="3"/>
        <v>0</v>
      </c>
      <c r="AI49" s="719">
        <f t="shared" ca="1" si="4"/>
        <v>0</v>
      </c>
      <c r="AJ49" s="719">
        <f t="shared" ca="1" si="5"/>
        <v>0</v>
      </c>
    </row>
    <row r="50" spans="1:36" x14ac:dyDescent="0.3">
      <c r="A50" s="82"/>
      <c r="C50" s="574">
        <v>200</v>
      </c>
      <c r="D50" s="571">
        <v>-603.79999999999995</v>
      </c>
      <c r="E50" s="570">
        <v>200</v>
      </c>
      <c r="F50" s="821">
        <v>0</v>
      </c>
      <c r="G50" s="572">
        <f>IF(TabFIFO[[#This Row],[Price]]&gt;0,TabFIFO[[#This Row],[Number]]*TabFIFO[[#This Row],[Price]],0)*(1-Commission)</f>
        <v>0</v>
      </c>
      <c r="H50" s="572">
        <f>IF(TabFIFO[[#This Row],[Price]]&lt;0,TabFIFO[[#This Row],[Number]]*TabFIFO[[#This Row],[Price]],0)*(1+Commission)</f>
        <v>-121073.97599999998</v>
      </c>
      <c r="I50" s="579">
        <f ca="1">TabFIFO[[#This Row],[Remaining]]*ID_M</f>
        <v>174160</v>
      </c>
      <c r="P50" s="362"/>
      <c r="Q50" s="362">
        <v>813.9</v>
      </c>
      <c r="R50" s="362">
        <v>200</v>
      </c>
      <c r="S50" s="362"/>
      <c r="T50" s="362"/>
      <c r="U50" s="362">
        <f ca="1"/>
        <v>945</v>
      </c>
      <c r="V50" s="362">
        <f ca="1"/>
        <v>0</v>
      </c>
      <c r="W50" s="362">
        <f ca="1"/>
        <v>0</v>
      </c>
      <c r="X50" s="362">
        <f ca="1"/>
        <v>0</v>
      </c>
      <c r="Y50" s="828">
        <f t="shared" ca="1" si="0"/>
        <v>945</v>
      </c>
      <c r="Z50" s="362">
        <v>945</v>
      </c>
      <c r="AA50" s="362">
        <v>0</v>
      </c>
      <c r="AB50" s="719"/>
      <c r="AE50" s="719">
        <f t="shared" ca="1" si="2"/>
        <v>0</v>
      </c>
      <c r="AF50" s="1427">
        <f t="shared" ca="1" si="3"/>
        <v>0</v>
      </c>
      <c r="AI50" s="719">
        <f t="shared" ca="1" si="4"/>
        <v>0</v>
      </c>
      <c r="AJ50" s="719">
        <f t="shared" ca="1" si="5"/>
        <v>0</v>
      </c>
    </row>
    <row r="51" spans="1:36" x14ac:dyDescent="0.3">
      <c r="C51" s="574">
        <v>200</v>
      </c>
      <c r="D51" s="571">
        <v>-695.5</v>
      </c>
      <c r="E51" s="570">
        <v>200</v>
      </c>
      <c r="F51" s="821">
        <v>0</v>
      </c>
      <c r="G51" s="572">
        <f>IF(TabFIFO[[#This Row],[Price]]&gt;0,TabFIFO[[#This Row],[Number]]*TabFIFO[[#This Row],[Price]],0)*(1-Commission)</f>
        <v>0</v>
      </c>
      <c r="H51" s="572">
        <f>IF(TabFIFO[[#This Row],[Price]]&lt;0,TabFIFO[[#This Row],[Number]]*TabFIFO[[#This Row],[Price]],0)*(1+Commission)</f>
        <v>-139461.66</v>
      </c>
      <c r="I51" s="579">
        <f ca="1">TabFIFO[[#This Row],[Remaining]]*ID_M</f>
        <v>174160</v>
      </c>
      <c r="P51" s="16"/>
      <c r="R51" s="1221"/>
      <c r="S51" s="1221"/>
      <c r="T51" s="1221"/>
      <c r="U51">
        <f ca="1"/>
        <v>0</v>
      </c>
      <c r="V51">
        <f ca="1"/>
        <v>0</v>
      </c>
      <c r="W51">
        <f ca="1"/>
        <v>0</v>
      </c>
      <c r="X51">
        <f ca="1"/>
        <v>0</v>
      </c>
      <c r="Z51">
        <v>0</v>
      </c>
      <c r="AA51">
        <v>0</v>
      </c>
      <c r="AB51" s="719"/>
      <c r="AE51" s="719">
        <f t="shared" ca="1" si="2"/>
        <v>0</v>
      </c>
      <c r="AF51" s="1427">
        <f t="shared" ca="1" si="3"/>
        <v>0</v>
      </c>
      <c r="AI51" s="719">
        <f t="shared" ca="1" si="4"/>
        <v>0</v>
      </c>
      <c r="AJ51" s="719">
        <f t="shared" ca="1" si="5"/>
        <v>0</v>
      </c>
    </row>
    <row r="52" spans="1:36" x14ac:dyDescent="0.3">
      <c r="C52" s="574">
        <v>100</v>
      </c>
      <c r="D52" s="571">
        <v>-632.95000000000005</v>
      </c>
      <c r="E52" s="570">
        <v>100</v>
      </c>
      <c r="F52" s="821">
        <v>0</v>
      </c>
      <c r="G52" s="572">
        <f>IF(TabFIFO[[#This Row],[Price]]&gt;0,TabFIFO[[#This Row],[Number]]*TabFIFO[[#This Row],[Price]],0)*(1-Commission)</f>
        <v>0</v>
      </c>
      <c r="H52" s="572">
        <f>IF(TabFIFO[[#This Row],[Price]]&lt;0,TabFIFO[[#This Row],[Number]]*TabFIFO[[#This Row],[Price]],0)*(1+Commission)</f>
        <v>-63459.567000000003</v>
      </c>
      <c r="I52" s="579">
        <f ca="1">TabFIFO[[#This Row],[Remaining]]*ID_M</f>
        <v>87080</v>
      </c>
      <c r="P52" s="16"/>
      <c r="R52" s="1220"/>
      <c r="S52" s="1220"/>
      <c r="T52" s="1220"/>
      <c r="U52">
        <f ca="1"/>
        <v>0</v>
      </c>
      <c r="V52">
        <f ca="1"/>
        <v>0</v>
      </c>
      <c r="W52">
        <f ca="1"/>
        <v>0</v>
      </c>
      <c r="X52">
        <f ca="1"/>
        <v>0</v>
      </c>
      <c r="Z52">
        <v>0</v>
      </c>
      <c r="AA52">
        <v>0</v>
      </c>
      <c r="AB52" s="719"/>
      <c r="AE52" s="719">
        <f t="shared" ca="1" si="2"/>
        <v>0</v>
      </c>
      <c r="AF52" s="1427">
        <f t="shared" ca="1" si="3"/>
        <v>0</v>
      </c>
      <c r="AI52" s="719">
        <f t="shared" ca="1" si="4"/>
        <v>0</v>
      </c>
      <c r="AJ52" s="719">
        <f t="shared" ca="1" si="5"/>
        <v>0</v>
      </c>
    </row>
    <row r="53" spans="1:36" x14ac:dyDescent="0.3">
      <c r="C53" s="574">
        <v>200</v>
      </c>
      <c r="D53" s="571">
        <v>-645.5</v>
      </c>
      <c r="E53" s="570">
        <v>200</v>
      </c>
      <c r="F53" s="821">
        <v>0</v>
      </c>
      <c r="G53" s="572">
        <f>IF(TabFIFO[[#This Row],[Price]]&gt;0,TabFIFO[[#This Row],[Number]]*TabFIFO[[#This Row],[Price]],0)*(1-Commission)</f>
        <v>0</v>
      </c>
      <c r="H53" s="572">
        <f>IF(TabFIFO[[#This Row],[Price]]&lt;0,TabFIFO[[#This Row],[Number]]*TabFIFO[[#This Row],[Price]],0)*(1+Commission)</f>
        <v>-129435.65999999999</v>
      </c>
      <c r="I53" s="579">
        <f ca="1">TabFIFO[[#This Row],[Remaining]]*ID_M</f>
        <v>174160</v>
      </c>
      <c r="P53" s="16"/>
      <c r="R53" s="816"/>
      <c r="S53" s="816"/>
      <c r="T53" s="816"/>
      <c r="U53">
        <f ca="1"/>
        <v>0</v>
      </c>
      <c r="V53">
        <f ca="1"/>
        <v>0</v>
      </c>
      <c r="W53">
        <f ca="1"/>
        <v>0</v>
      </c>
      <c r="X53">
        <f ca="1"/>
        <v>0</v>
      </c>
      <c r="Z53">
        <v>0</v>
      </c>
      <c r="AA53">
        <v>0</v>
      </c>
      <c r="AB53" s="719"/>
      <c r="AE53" s="719">
        <f t="shared" ca="1" si="2"/>
        <v>0</v>
      </c>
      <c r="AF53" s="1427">
        <f t="shared" ca="1" si="3"/>
        <v>0</v>
      </c>
      <c r="AI53" s="719">
        <f t="shared" ca="1" si="4"/>
        <v>0</v>
      </c>
      <c r="AJ53" s="719">
        <f t="shared" ca="1" si="5"/>
        <v>0</v>
      </c>
    </row>
    <row r="54" spans="1:36" x14ac:dyDescent="0.3">
      <c r="C54" s="574">
        <v>300</v>
      </c>
      <c r="D54" s="571">
        <v>-602.54999999999995</v>
      </c>
      <c r="E54" s="570">
        <v>300</v>
      </c>
      <c r="F54" s="821">
        <v>0</v>
      </c>
      <c r="G54" s="572">
        <f>IF(TabFIFO[[#This Row],[Price]]&gt;0,TabFIFO[[#This Row],[Number]]*TabFIFO[[#This Row],[Price]],0)*(1-Commission)</f>
        <v>0</v>
      </c>
      <c r="H54" s="572">
        <f>IF(TabFIFO[[#This Row],[Price]]&lt;0,TabFIFO[[#This Row],[Number]]*TabFIFO[[#This Row],[Price]],0)*(1+Commission)</f>
        <v>-181234.989</v>
      </c>
      <c r="I54" s="579">
        <f ca="1">TabFIFO[[#This Row],[Remaining]]*ID_M</f>
        <v>261240</v>
      </c>
      <c r="P54" s="16"/>
      <c r="R54" s="816"/>
      <c r="S54" s="816"/>
      <c r="T54" s="816"/>
      <c r="U54">
        <f ca="1"/>
        <v>0</v>
      </c>
      <c r="V54">
        <f ca="1"/>
        <v>0</v>
      </c>
      <c r="W54">
        <f ca="1"/>
        <v>0</v>
      </c>
      <c r="X54">
        <f ca="1"/>
        <v>0</v>
      </c>
      <c r="Z54">
        <v>0</v>
      </c>
      <c r="AA54">
        <v>0</v>
      </c>
      <c r="AB54" s="719"/>
      <c r="AE54" s="719">
        <f t="shared" ref="AE54:AE85" ca="1" si="6">AD54*ID_M</f>
        <v>0</v>
      </c>
      <c r="AF54" s="1427">
        <f t="shared" ca="1" si="3"/>
        <v>0</v>
      </c>
      <c r="AI54" s="719">
        <f t="shared" ref="AI54:AI85" ca="1" si="7">AH54*ID_M</f>
        <v>0</v>
      </c>
      <c r="AJ54" s="719">
        <f t="shared" ca="1" si="5"/>
        <v>0</v>
      </c>
    </row>
    <row r="55" spans="1:36" x14ac:dyDescent="0.3">
      <c r="C55" s="574">
        <v>500</v>
      </c>
      <c r="D55" s="571">
        <v>-599.29999999999995</v>
      </c>
      <c r="E55" s="570">
        <v>500</v>
      </c>
      <c r="F55" s="821">
        <v>0</v>
      </c>
      <c r="G55" s="572">
        <f>IF(TabFIFO[[#This Row],[Price]]&gt;0,TabFIFO[[#This Row],[Number]]*TabFIFO[[#This Row],[Price]],0)*(1-Commission)</f>
        <v>0</v>
      </c>
      <c r="H55" s="572">
        <f>IF(TabFIFO[[#This Row],[Price]]&lt;0,TabFIFO[[#This Row],[Number]]*TabFIFO[[#This Row],[Price]],0)*(1+Commission)</f>
        <v>-300429.08999999997</v>
      </c>
      <c r="I55" s="579">
        <f ca="1">TabFIFO[[#This Row],[Remaining]]*ID_M</f>
        <v>435400</v>
      </c>
      <c r="P55" s="16"/>
      <c r="R55" s="816"/>
      <c r="S55" s="816"/>
      <c r="T55" s="816"/>
      <c r="U55">
        <f ca="1"/>
        <v>0</v>
      </c>
      <c r="V55">
        <f ca="1"/>
        <v>0</v>
      </c>
      <c r="W55">
        <f ca="1"/>
        <v>0</v>
      </c>
      <c r="X55">
        <f ca="1"/>
        <v>0</v>
      </c>
      <c r="Z55">
        <v>0</v>
      </c>
      <c r="AA55">
        <v>0</v>
      </c>
      <c r="AB55" s="719"/>
      <c r="AE55" s="719">
        <f t="shared" ca="1" si="6"/>
        <v>0</v>
      </c>
      <c r="AF55" s="1427">
        <f t="shared" ref="AF55:AF86" ca="1" si="8">AD55*(ID_M+AC55)</f>
        <v>0</v>
      </c>
      <c r="AI55" s="719">
        <f t="shared" ca="1" si="7"/>
        <v>0</v>
      </c>
      <c r="AJ55" s="719">
        <f t="shared" ref="AJ55:AJ86" ca="1" si="9">AG55*(ID_M-AH55)</f>
        <v>0</v>
      </c>
    </row>
    <row r="56" spans="1:36" x14ac:dyDescent="0.3">
      <c r="C56" s="574">
        <v>500</v>
      </c>
      <c r="D56" s="571">
        <v>636.70000000000005</v>
      </c>
      <c r="E56" s="570"/>
      <c r="F56" s="821">
        <v>-71770</v>
      </c>
      <c r="G56" s="572">
        <f>IF(TabFIFO[[#This Row],[Price]]&gt;0,TabFIFO[[#This Row],[Number]]*TabFIFO[[#This Row],[Price]],0)*(1-Commission)</f>
        <v>317522.28999999998</v>
      </c>
      <c r="H56" s="572">
        <f>IF(TabFIFO[[#This Row],[Price]]&lt;0,TabFIFO[[#This Row],[Number]]*TabFIFO[[#This Row],[Price]],0)*(1+Commission)</f>
        <v>0</v>
      </c>
      <c r="I56" s="579">
        <f ca="1">TabFIFO[[#This Row],[Remaining]]*ID_M</f>
        <v>0</v>
      </c>
      <c r="P56" s="16"/>
      <c r="R56" s="816"/>
      <c r="S56" s="816"/>
      <c r="T56" s="816"/>
      <c r="U56">
        <f ca="1"/>
        <v>0</v>
      </c>
      <c r="V56">
        <f ca="1"/>
        <v>0</v>
      </c>
      <c r="W56">
        <f ca="1"/>
        <v>0</v>
      </c>
      <c r="X56">
        <f ca="1"/>
        <v>0</v>
      </c>
      <c r="Z56">
        <v>0</v>
      </c>
      <c r="AA56">
        <v>0</v>
      </c>
      <c r="AB56" s="719"/>
      <c r="AE56" s="719">
        <f t="shared" ca="1" si="6"/>
        <v>0</v>
      </c>
      <c r="AF56" s="1427">
        <f t="shared" ca="1" si="8"/>
        <v>0</v>
      </c>
      <c r="AI56" s="719">
        <f t="shared" ca="1" si="7"/>
        <v>0</v>
      </c>
      <c r="AJ56" s="719">
        <f t="shared" ca="1" si="9"/>
        <v>0</v>
      </c>
    </row>
    <row r="57" spans="1:36" x14ac:dyDescent="0.3">
      <c r="C57" s="574">
        <v>500</v>
      </c>
      <c r="D57" s="571">
        <v>646.20000000000005</v>
      </c>
      <c r="E57" s="570"/>
      <c r="F57" s="821">
        <v>-25110</v>
      </c>
      <c r="G57" s="572">
        <f>IF(TabFIFO[[#This Row],[Price]]&gt;0,TabFIFO[[#This Row],[Number]]*TabFIFO[[#This Row],[Price]],0)*(1-Commission)</f>
        <v>322259.94</v>
      </c>
      <c r="H57" s="572">
        <f>IF(TabFIFO[[#This Row],[Price]]&lt;0,TabFIFO[[#This Row],[Number]]*TabFIFO[[#This Row],[Price]],0)*(1+Commission)</f>
        <v>0</v>
      </c>
      <c r="I57" s="579">
        <f ca="1">TabFIFO[[#This Row],[Remaining]]*ID_M</f>
        <v>0</v>
      </c>
      <c r="K57" s="815"/>
      <c r="P57" s="16"/>
      <c r="R57" s="816"/>
      <c r="S57" s="816"/>
      <c r="T57" s="816"/>
      <c r="U57">
        <f ca="1"/>
        <v>0</v>
      </c>
      <c r="V57">
        <f ca="1"/>
        <v>0</v>
      </c>
      <c r="W57">
        <f ca="1"/>
        <v>0</v>
      </c>
      <c r="X57">
        <f ca="1"/>
        <v>0</v>
      </c>
      <c r="Z57">
        <v>0</v>
      </c>
      <c r="AA57">
        <v>0</v>
      </c>
      <c r="AB57" s="719"/>
      <c r="AE57" s="719">
        <f t="shared" ca="1" si="6"/>
        <v>0</v>
      </c>
      <c r="AF57" s="1427">
        <f t="shared" ca="1" si="8"/>
        <v>0</v>
      </c>
      <c r="AI57" s="719">
        <f t="shared" ca="1" si="7"/>
        <v>0</v>
      </c>
      <c r="AJ57" s="719">
        <f t="shared" ca="1" si="9"/>
        <v>0</v>
      </c>
    </row>
    <row r="58" spans="1:36" x14ac:dyDescent="0.3">
      <c r="C58" s="574">
        <v>500</v>
      </c>
      <c r="D58" s="571">
        <v>-622.20000000000005</v>
      </c>
      <c r="E58" s="570">
        <v>500</v>
      </c>
      <c r="F58" s="821">
        <v>0</v>
      </c>
      <c r="G58" s="572">
        <f>IF(TabFIFO[[#This Row],[Price]]&gt;0,TabFIFO[[#This Row],[Number]]*TabFIFO[[#This Row],[Price]],0)*(1-Commission)</f>
        <v>0</v>
      </c>
      <c r="H58" s="572">
        <f>IF(TabFIFO[[#This Row],[Price]]&lt;0,TabFIFO[[#This Row],[Number]]*TabFIFO[[#This Row],[Price]],0)*(1+Commission)</f>
        <v>-311908.86</v>
      </c>
      <c r="I58" s="579">
        <f ca="1">TabFIFO[[#This Row],[Remaining]]*ID_M</f>
        <v>435400</v>
      </c>
      <c r="K58" s="815"/>
      <c r="P58" s="16"/>
      <c r="R58" s="816"/>
      <c r="S58" s="816"/>
      <c r="T58" s="816"/>
      <c r="U58">
        <f ca="1"/>
        <v>0</v>
      </c>
      <c r="V58">
        <f ca="1"/>
        <v>0</v>
      </c>
      <c r="W58">
        <f ca="1"/>
        <v>0</v>
      </c>
      <c r="X58">
        <f ca="1"/>
        <v>0</v>
      </c>
      <c r="Z58">
        <v>0</v>
      </c>
      <c r="AA58">
        <v>0</v>
      </c>
      <c r="AB58" s="719"/>
      <c r="AE58" s="719">
        <f t="shared" ca="1" si="6"/>
        <v>0</v>
      </c>
      <c r="AF58" s="1427">
        <f t="shared" ca="1" si="8"/>
        <v>0</v>
      </c>
      <c r="AI58" s="719">
        <f t="shared" ca="1" si="7"/>
        <v>0</v>
      </c>
      <c r="AJ58" s="719">
        <f t="shared" ca="1" si="9"/>
        <v>0</v>
      </c>
    </row>
    <row r="59" spans="1:36" x14ac:dyDescent="0.3">
      <c r="C59" s="574">
        <v>500</v>
      </c>
      <c r="D59" s="571">
        <v>662.4</v>
      </c>
      <c r="E59" s="570"/>
      <c r="F59" s="821">
        <v>4470</v>
      </c>
      <c r="G59" s="572">
        <f>IF(TabFIFO[[#This Row],[Price]]&gt;0,TabFIFO[[#This Row],[Number]]*TabFIFO[[#This Row],[Price]],0)*(1-Commission)</f>
        <v>330338.88</v>
      </c>
      <c r="H59" s="572">
        <f>IF(TabFIFO[[#This Row],[Price]]&lt;0,TabFIFO[[#This Row],[Number]]*TabFIFO[[#This Row],[Price]],0)*(1+Commission)</f>
        <v>0</v>
      </c>
      <c r="I59" s="579">
        <f ca="1">TabFIFO[[#This Row],[Remaining]]*ID_M</f>
        <v>0</v>
      </c>
      <c r="K59" s="815"/>
      <c r="P59" s="16"/>
      <c r="R59" s="816"/>
      <c r="S59" s="816"/>
      <c r="T59" s="816"/>
      <c r="U59">
        <f ca="1"/>
        <v>0</v>
      </c>
      <c r="V59">
        <f ca="1"/>
        <v>0</v>
      </c>
      <c r="W59">
        <f ca="1"/>
        <v>0</v>
      </c>
      <c r="X59">
        <f ca="1"/>
        <v>0</v>
      </c>
      <c r="Z59">
        <v>0</v>
      </c>
      <c r="AA59">
        <v>0</v>
      </c>
      <c r="AB59" s="719"/>
      <c r="AE59" s="719">
        <f t="shared" ca="1" si="6"/>
        <v>0</v>
      </c>
      <c r="AF59" s="1427">
        <f t="shared" ca="1" si="8"/>
        <v>0</v>
      </c>
      <c r="AI59" s="719">
        <f t="shared" ca="1" si="7"/>
        <v>0</v>
      </c>
      <c r="AJ59" s="719">
        <f t="shared" ca="1" si="9"/>
        <v>0</v>
      </c>
    </row>
    <row r="60" spans="1:36" x14ac:dyDescent="0.3">
      <c r="C60" s="574">
        <v>200</v>
      </c>
      <c r="D60" s="571">
        <v>667.2</v>
      </c>
      <c r="E60" s="570"/>
      <c r="F60" s="821">
        <v>2699.9999999999854</v>
      </c>
      <c r="G60" s="572">
        <f>IF(TabFIFO[[#This Row],[Price]]&gt;0,TabFIFO[[#This Row],[Number]]*TabFIFO[[#This Row],[Price]],0)*(1-Commission)</f>
        <v>133093.05599999998</v>
      </c>
      <c r="H60" s="572">
        <f>IF(TabFIFO[[#This Row],[Price]]&lt;0,TabFIFO[[#This Row],[Number]]*TabFIFO[[#This Row],[Price]],0)*(1+Commission)</f>
        <v>0</v>
      </c>
      <c r="I60" s="579">
        <f ca="1">TabFIFO[[#This Row],[Remaining]]*ID_M</f>
        <v>0</v>
      </c>
      <c r="K60" s="815"/>
      <c r="P60" s="16"/>
      <c r="R60" s="816"/>
      <c r="S60" s="816"/>
      <c r="T60" s="816"/>
      <c r="U60">
        <f ca="1"/>
        <v>0</v>
      </c>
      <c r="V60">
        <f ca="1"/>
        <v>0</v>
      </c>
      <c r="W60">
        <f ca="1"/>
        <v>0</v>
      </c>
      <c r="X60">
        <f ca="1"/>
        <v>0</v>
      </c>
      <c r="Z60">
        <v>0</v>
      </c>
      <c r="AA60">
        <v>0</v>
      </c>
      <c r="AB60" s="719"/>
      <c r="AE60" s="719">
        <f t="shared" ca="1" si="6"/>
        <v>0</v>
      </c>
      <c r="AF60" s="1427">
        <f t="shared" ca="1" si="8"/>
        <v>0</v>
      </c>
      <c r="AI60" s="719">
        <f t="shared" ca="1" si="7"/>
        <v>0</v>
      </c>
      <c r="AJ60" s="719">
        <f t="shared" ca="1" si="9"/>
        <v>0</v>
      </c>
    </row>
    <row r="61" spans="1:36" x14ac:dyDescent="0.3">
      <c r="C61" s="574">
        <v>300</v>
      </c>
      <c r="D61" s="571">
        <v>728.4</v>
      </c>
      <c r="E61" s="570"/>
      <c r="F61" s="821">
        <v>22410</v>
      </c>
      <c r="G61" s="572">
        <f>IF(TabFIFO[[#This Row],[Price]]&gt;0,TabFIFO[[#This Row],[Number]]*TabFIFO[[#This Row],[Price]],0)*(1-Commission)</f>
        <v>217951.848</v>
      </c>
      <c r="H61" s="572">
        <f>IF(TabFIFO[[#This Row],[Price]]&lt;0,TabFIFO[[#This Row],[Number]]*TabFIFO[[#This Row],[Price]],0)*(1+Commission)</f>
        <v>0</v>
      </c>
      <c r="I61" s="579">
        <f ca="1">TabFIFO[[#This Row],[Remaining]]*ID_M</f>
        <v>0</v>
      </c>
      <c r="K61" s="815"/>
      <c r="P61" s="16"/>
      <c r="R61" s="816"/>
      <c r="S61" s="816"/>
      <c r="T61" s="816"/>
      <c r="U61">
        <f ca="1"/>
        <v>0</v>
      </c>
      <c r="V61">
        <f ca="1"/>
        <v>0</v>
      </c>
      <c r="W61">
        <f ca="1"/>
        <v>0</v>
      </c>
      <c r="X61">
        <f ca="1"/>
        <v>0</v>
      </c>
      <c r="Z61">
        <v>0</v>
      </c>
      <c r="AA61">
        <v>0</v>
      </c>
      <c r="AB61" s="719"/>
      <c r="AE61" s="719">
        <f t="shared" ca="1" si="6"/>
        <v>0</v>
      </c>
      <c r="AF61" s="1427">
        <f t="shared" ca="1" si="8"/>
        <v>0</v>
      </c>
      <c r="AI61" s="719">
        <f t="shared" ca="1" si="7"/>
        <v>0</v>
      </c>
      <c r="AJ61" s="719">
        <f t="shared" ca="1" si="9"/>
        <v>0</v>
      </c>
    </row>
    <row r="62" spans="1:36" x14ac:dyDescent="0.3">
      <c r="C62" s="574">
        <v>100</v>
      </c>
      <c r="D62" s="571">
        <v>772.4</v>
      </c>
      <c r="E62" s="570"/>
      <c r="F62" s="821">
        <v>11869.999999999993</v>
      </c>
      <c r="G62" s="572">
        <f>IF(TabFIFO[[#This Row],[Price]]&gt;0,TabFIFO[[#This Row],[Number]]*TabFIFO[[#This Row],[Price]],0)*(1-Commission)</f>
        <v>77039.175999999992</v>
      </c>
      <c r="H62" s="572">
        <f>IF(TabFIFO[[#This Row],[Price]]&lt;0,TabFIFO[[#This Row],[Number]]*TabFIFO[[#This Row],[Price]],0)*(1+Commission)</f>
        <v>0</v>
      </c>
      <c r="I62" s="579">
        <f ca="1">TabFIFO[[#This Row],[Remaining]]*ID_M</f>
        <v>0</v>
      </c>
      <c r="K62" s="815"/>
      <c r="P62" s="16"/>
      <c r="R62" s="816"/>
      <c r="S62" s="816"/>
      <c r="T62" s="816"/>
      <c r="U62">
        <f ca="1"/>
        <v>0</v>
      </c>
      <c r="V62">
        <f ca="1"/>
        <v>0</v>
      </c>
      <c r="W62">
        <f ca="1"/>
        <v>0</v>
      </c>
      <c r="X62">
        <f ca="1"/>
        <v>0</v>
      </c>
      <c r="Z62">
        <v>0</v>
      </c>
      <c r="AA62">
        <v>0</v>
      </c>
      <c r="AB62" s="719"/>
      <c r="AE62" s="719">
        <f t="shared" ca="1" si="6"/>
        <v>0</v>
      </c>
      <c r="AF62" s="1427">
        <f t="shared" ca="1" si="8"/>
        <v>0</v>
      </c>
      <c r="AI62" s="719">
        <f t="shared" ca="1" si="7"/>
        <v>0</v>
      </c>
      <c r="AJ62" s="719">
        <f t="shared" ca="1" si="9"/>
        <v>0</v>
      </c>
    </row>
    <row r="63" spans="1:36" x14ac:dyDescent="0.3">
      <c r="C63" s="574">
        <v>100</v>
      </c>
      <c r="D63" s="571">
        <v>790.33199999999999</v>
      </c>
      <c r="E63" s="570"/>
      <c r="F63" s="821">
        <v>13663.19999999999</v>
      </c>
      <c r="G63" s="572">
        <f>IF(TabFIFO[[#This Row],[Price]]&gt;0,TabFIFO[[#This Row],[Number]]*TabFIFO[[#This Row],[Price]],0)*(1-Commission)</f>
        <v>78827.713679999986</v>
      </c>
      <c r="H63" s="572">
        <f>IF(TabFIFO[[#This Row],[Price]]&lt;0,TabFIFO[[#This Row],[Number]]*TabFIFO[[#This Row],[Price]],0)*(1+Commission)</f>
        <v>0</v>
      </c>
      <c r="I63" s="579">
        <f ca="1">TabFIFO[[#This Row],[Remaining]]*ID_M</f>
        <v>0</v>
      </c>
      <c r="K63" s="815"/>
      <c r="P63" s="16"/>
      <c r="R63" s="816"/>
      <c r="S63" s="816"/>
      <c r="T63" s="816"/>
      <c r="U63">
        <f ca="1"/>
        <v>0</v>
      </c>
      <c r="V63">
        <f ca="1"/>
        <v>0</v>
      </c>
      <c r="W63">
        <f ca="1"/>
        <v>0</v>
      </c>
      <c r="X63">
        <f ca="1"/>
        <v>0</v>
      </c>
      <c r="Z63">
        <v>0</v>
      </c>
      <c r="AA63">
        <v>0</v>
      </c>
      <c r="AB63" s="719"/>
      <c r="AE63" s="719">
        <f t="shared" ca="1" si="6"/>
        <v>0</v>
      </c>
      <c r="AF63" s="1427">
        <f t="shared" ca="1" si="8"/>
        <v>0</v>
      </c>
      <c r="AI63" s="719">
        <f t="shared" ca="1" si="7"/>
        <v>0</v>
      </c>
      <c r="AJ63" s="719">
        <f t="shared" ca="1" si="9"/>
        <v>0</v>
      </c>
    </row>
    <row r="64" spans="1:36" x14ac:dyDescent="0.3">
      <c r="C64" s="574">
        <v>100</v>
      </c>
      <c r="D64" s="571">
        <v>814.2</v>
      </c>
      <c r="E64" s="570"/>
      <c r="F64" s="821">
        <v>10800</v>
      </c>
      <c r="G64" s="572">
        <f>IF(TabFIFO[[#This Row],[Price]]&gt;0,TabFIFO[[#This Row],[Number]]*TabFIFO[[#This Row],[Price]],0)*(1-Commission)</f>
        <v>81208.30799999999</v>
      </c>
      <c r="H64" s="572">
        <f>IF(TabFIFO[[#This Row],[Price]]&lt;0,TabFIFO[[#This Row],[Number]]*TabFIFO[[#This Row],[Price]],0)*(1+Commission)</f>
        <v>0</v>
      </c>
      <c r="I64" s="579">
        <f ca="1">TabFIFO[[#This Row],[Remaining]]*ID_M</f>
        <v>0</v>
      </c>
      <c r="K64" s="815"/>
      <c r="P64" s="16"/>
      <c r="R64" s="816"/>
      <c r="S64" s="816"/>
      <c r="T64" s="816"/>
      <c r="U64">
        <f ca="1"/>
        <v>0</v>
      </c>
      <c r="V64">
        <f ca="1"/>
        <v>0</v>
      </c>
      <c r="W64">
        <f ca="1"/>
        <v>0</v>
      </c>
      <c r="X64">
        <f ca="1"/>
        <v>0</v>
      </c>
      <c r="Z64">
        <v>0</v>
      </c>
      <c r="AA64">
        <v>0</v>
      </c>
      <c r="AB64" s="719"/>
      <c r="AE64" s="719">
        <f t="shared" ca="1" si="6"/>
        <v>0</v>
      </c>
      <c r="AF64" s="1427">
        <f t="shared" ca="1" si="8"/>
        <v>0</v>
      </c>
      <c r="AI64" s="719">
        <f t="shared" ca="1" si="7"/>
        <v>0</v>
      </c>
      <c r="AJ64" s="719">
        <f t="shared" ca="1" si="9"/>
        <v>0</v>
      </c>
    </row>
    <row r="65" spans="3:36" x14ac:dyDescent="0.3">
      <c r="C65" s="574">
        <v>100</v>
      </c>
      <c r="D65" s="571">
        <v>821.4</v>
      </c>
      <c r="E65" s="570"/>
      <c r="F65" s="821">
        <v>11520</v>
      </c>
      <c r="G65" s="572">
        <f>IF(TabFIFO[[#This Row],[Price]]&gt;0,TabFIFO[[#This Row],[Number]]*TabFIFO[[#This Row],[Price]],0)*(1-Commission)</f>
        <v>81926.436000000002</v>
      </c>
      <c r="H65" s="572">
        <f>IF(TabFIFO[[#This Row],[Price]]&lt;0,TabFIFO[[#This Row],[Number]]*TabFIFO[[#This Row],[Price]],0)*(1+Commission)</f>
        <v>0</v>
      </c>
      <c r="I65" s="579">
        <f ca="1">TabFIFO[[#This Row],[Remaining]]*ID_M</f>
        <v>0</v>
      </c>
      <c r="K65" s="815"/>
      <c r="P65" s="16"/>
      <c r="R65" s="816"/>
      <c r="S65" s="816"/>
      <c r="T65" s="816"/>
      <c r="U65">
        <f ca="1"/>
        <v>0</v>
      </c>
      <c r="V65">
        <f ca="1"/>
        <v>0</v>
      </c>
      <c r="W65">
        <f ca="1"/>
        <v>0</v>
      </c>
      <c r="X65">
        <f ca="1"/>
        <v>0</v>
      </c>
      <c r="Z65">
        <v>0</v>
      </c>
      <c r="AA65">
        <v>0</v>
      </c>
      <c r="AB65" s="719"/>
      <c r="AE65" s="719">
        <f t="shared" ca="1" si="6"/>
        <v>0</v>
      </c>
      <c r="AF65" s="1427">
        <f t="shared" ca="1" si="8"/>
        <v>0</v>
      </c>
      <c r="AI65" s="719">
        <f t="shared" ca="1" si="7"/>
        <v>0</v>
      </c>
      <c r="AJ65" s="719">
        <f t="shared" ca="1" si="9"/>
        <v>0</v>
      </c>
    </row>
    <row r="66" spans="3:36" x14ac:dyDescent="0.3">
      <c r="C66" s="574">
        <v>200</v>
      </c>
      <c r="D66" s="571">
        <v>824.25</v>
      </c>
      <c r="E66" s="570"/>
      <c r="F66" s="821">
        <v>21740</v>
      </c>
      <c r="G66" s="572">
        <f>IF(TabFIFO[[#This Row],[Price]]&gt;0,TabFIFO[[#This Row],[Number]]*TabFIFO[[#This Row],[Price]],0)*(1-Commission)</f>
        <v>164421.38999999998</v>
      </c>
      <c r="H66" s="572">
        <f>IF(TabFIFO[[#This Row],[Price]]&lt;0,TabFIFO[[#This Row],[Number]]*TabFIFO[[#This Row],[Price]],0)*(1+Commission)</f>
        <v>0</v>
      </c>
      <c r="I66" s="579">
        <f ca="1">TabFIFO[[#This Row],[Remaining]]*ID_M</f>
        <v>0</v>
      </c>
      <c r="K66" s="815"/>
      <c r="P66" s="16"/>
      <c r="R66" s="816"/>
      <c r="S66" s="816"/>
      <c r="T66" s="816"/>
      <c r="U66">
        <f ca="1"/>
        <v>0</v>
      </c>
      <c r="V66">
        <f ca="1"/>
        <v>0</v>
      </c>
      <c r="W66">
        <f ca="1"/>
        <v>0</v>
      </c>
      <c r="X66">
        <f ca="1"/>
        <v>0</v>
      </c>
      <c r="Z66">
        <v>0</v>
      </c>
      <c r="AA66">
        <v>0</v>
      </c>
      <c r="AB66" s="719"/>
      <c r="AE66" s="719">
        <f t="shared" ca="1" si="6"/>
        <v>0</v>
      </c>
      <c r="AF66" s="1427">
        <f t="shared" ca="1" si="8"/>
        <v>0</v>
      </c>
      <c r="AI66" s="719">
        <f t="shared" ca="1" si="7"/>
        <v>0</v>
      </c>
      <c r="AJ66" s="719">
        <f t="shared" ca="1" si="9"/>
        <v>0</v>
      </c>
    </row>
    <row r="67" spans="3:36" x14ac:dyDescent="0.3">
      <c r="C67" s="574">
        <v>200</v>
      </c>
      <c r="D67" s="571">
        <v>-804.9</v>
      </c>
      <c r="E67" s="570">
        <v>200</v>
      </c>
      <c r="F67" s="821">
        <v>0</v>
      </c>
      <c r="G67" s="572">
        <f>IF(TabFIFO[[#This Row],[Price]]&gt;0,TabFIFO[[#This Row],[Number]]*TabFIFO[[#This Row],[Price]],0)*(1-Commission)</f>
        <v>0</v>
      </c>
      <c r="H67" s="572">
        <f>IF(TabFIFO[[#This Row],[Price]]&lt;0,TabFIFO[[#This Row],[Number]]*TabFIFO[[#This Row],[Price]],0)*(1+Commission)</f>
        <v>-161398.54799999998</v>
      </c>
      <c r="I67" s="579">
        <f ca="1">TabFIFO[[#This Row],[Remaining]]*ID_M</f>
        <v>174160</v>
      </c>
      <c r="K67" s="815"/>
      <c r="P67" s="16"/>
      <c r="R67" s="816"/>
      <c r="S67" s="816"/>
      <c r="T67" s="816"/>
      <c r="U67">
        <f ca="1"/>
        <v>0</v>
      </c>
      <c r="V67">
        <f ca="1"/>
        <v>0</v>
      </c>
      <c r="W67">
        <f ca="1"/>
        <v>0</v>
      </c>
      <c r="X67">
        <f ca="1"/>
        <v>0</v>
      </c>
      <c r="Z67">
        <v>0</v>
      </c>
      <c r="AA67">
        <v>0</v>
      </c>
      <c r="AB67" s="719"/>
      <c r="AE67" s="719">
        <f t="shared" ca="1" si="6"/>
        <v>0</v>
      </c>
      <c r="AF67" s="1427">
        <f t="shared" ca="1" si="8"/>
        <v>0</v>
      </c>
      <c r="AI67" s="719">
        <f t="shared" ca="1" si="7"/>
        <v>0</v>
      </c>
      <c r="AJ67" s="719">
        <f t="shared" ca="1" si="9"/>
        <v>0</v>
      </c>
    </row>
    <row r="68" spans="3:36" x14ac:dyDescent="0.3">
      <c r="C68" s="574">
        <v>200</v>
      </c>
      <c r="D68" s="571">
        <v>880.6</v>
      </c>
      <c r="E68" s="570"/>
      <c r="F68" s="821">
        <v>35910</v>
      </c>
      <c r="G68" s="572">
        <f>IF(TabFIFO[[#This Row],[Price]]&gt;0,TabFIFO[[#This Row],[Number]]*TabFIFO[[#This Row],[Price]],0)*(1-Commission)</f>
        <v>175662.08799999999</v>
      </c>
      <c r="H68" s="572">
        <f>IF(TabFIFO[[#This Row],[Price]]&lt;0,TabFIFO[[#This Row],[Number]]*TabFIFO[[#This Row],[Price]],0)*(1+Commission)</f>
        <v>0</v>
      </c>
      <c r="I68" s="579">
        <f ca="1">TabFIFO[[#This Row],[Remaining]]*ID_M</f>
        <v>0</v>
      </c>
      <c r="K68" s="815"/>
      <c r="P68" s="16"/>
      <c r="R68" s="816"/>
      <c r="S68" s="816"/>
      <c r="T68" s="816"/>
      <c r="U68">
        <f ca="1"/>
        <v>0</v>
      </c>
      <c r="V68">
        <f ca="1"/>
        <v>0</v>
      </c>
      <c r="W68">
        <f ca="1"/>
        <v>0</v>
      </c>
      <c r="X68">
        <f ca="1"/>
        <v>0</v>
      </c>
      <c r="Z68">
        <v>0</v>
      </c>
      <c r="AA68">
        <v>0</v>
      </c>
      <c r="AB68" s="719"/>
      <c r="AE68" s="719">
        <f t="shared" ca="1" si="6"/>
        <v>0</v>
      </c>
      <c r="AF68" s="1427">
        <f t="shared" ca="1" si="8"/>
        <v>0</v>
      </c>
      <c r="AI68" s="719">
        <f t="shared" ca="1" si="7"/>
        <v>0</v>
      </c>
      <c r="AJ68" s="719">
        <f t="shared" ca="1" si="9"/>
        <v>0</v>
      </c>
    </row>
    <row r="69" spans="3:36" x14ac:dyDescent="0.3">
      <c r="C69" s="574">
        <v>100</v>
      </c>
      <c r="D69" s="571">
        <v>901.2</v>
      </c>
      <c r="E69" s="570"/>
      <c r="F69" s="821">
        <v>20015</v>
      </c>
      <c r="G69" s="572">
        <f>IF(TabFIFO[[#This Row],[Price]]&gt;0,TabFIFO[[#This Row],[Number]]*TabFIFO[[#This Row],[Price]],0)*(1-Commission)</f>
        <v>89885.687999999995</v>
      </c>
      <c r="H69" s="572">
        <f>IF(TabFIFO[[#This Row],[Price]]&lt;0,TabFIFO[[#This Row],[Number]]*TabFIFO[[#This Row],[Price]],0)*(1+Commission)</f>
        <v>0</v>
      </c>
      <c r="I69" s="579">
        <f ca="1">TabFIFO[[#This Row],[Remaining]]*ID_M</f>
        <v>0</v>
      </c>
      <c r="K69" s="815"/>
      <c r="P69" s="16"/>
      <c r="R69" s="816"/>
      <c r="S69" s="816"/>
      <c r="T69" s="816"/>
      <c r="U69">
        <f ca="1"/>
        <v>0</v>
      </c>
      <c r="V69">
        <f ca="1"/>
        <v>0</v>
      </c>
      <c r="W69">
        <f ca="1"/>
        <v>0</v>
      </c>
      <c r="X69">
        <f ca="1"/>
        <v>0</v>
      </c>
      <c r="Z69">
        <v>0</v>
      </c>
      <c r="AA69">
        <v>0</v>
      </c>
      <c r="AB69" s="719"/>
      <c r="AE69" s="719">
        <f t="shared" ca="1" si="6"/>
        <v>0</v>
      </c>
      <c r="AF69" s="1427">
        <f t="shared" ca="1" si="8"/>
        <v>0</v>
      </c>
      <c r="AI69" s="719">
        <f t="shared" ca="1" si="7"/>
        <v>0</v>
      </c>
      <c r="AJ69" s="719">
        <f t="shared" ca="1" si="9"/>
        <v>0</v>
      </c>
    </row>
    <row r="70" spans="3:36" x14ac:dyDescent="0.3">
      <c r="C70" s="574">
        <v>200</v>
      </c>
      <c r="D70" s="571">
        <v>-813.9</v>
      </c>
      <c r="E70" s="570">
        <v>200</v>
      </c>
      <c r="F70" s="821">
        <v>0</v>
      </c>
      <c r="G70" s="572">
        <f>IF(TabFIFO[[#This Row],[Price]]&gt;0,TabFIFO[[#This Row],[Number]]*TabFIFO[[#This Row],[Price]],0)*(1-Commission)</f>
        <v>0</v>
      </c>
      <c r="H70" s="572">
        <f>IF(TabFIFO[[#This Row],[Price]]&lt;0,TabFIFO[[#This Row],[Number]]*TabFIFO[[#This Row],[Price]],0)*(1+Commission)</f>
        <v>-163203.228</v>
      </c>
      <c r="I70" s="579">
        <f ca="1">TabFIFO[[#This Row],[Remaining]]*ID_M</f>
        <v>174160</v>
      </c>
      <c r="K70" s="815"/>
      <c r="P70" s="16"/>
      <c r="R70" s="816"/>
      <c r="S70" s="816"/>
      <c r="T70" s="816"/>
      <c r="U70">
        <f ca="1"/>
        <v>0</v>
      </c>
      <c r="V70">
        <f ca="1"/>
        <v>0</v>
      </c>
      <c r="W70">
        <f ca="1"/>
        <v>0</v>
      </c>
      <c r="X70">
        <f ca="1"/>
        <v>0</v>
      </c>
      <c r="Z70">
        <v>0</v>
      </c>
      <c r="AA70">
        <v>0</v>
      </c>
      <c r="AB70" s="719"/>
      <c r="AE70" s="719">
        <f t="shared" ca="1" si="6"/>
        <v>0</v>
      </c>
      <c r="AF70" s="1427">
        <f t="shared" ca="1" si="8"/>
        <v>0</v>
      </c>
      <c r="AI70" s="719">
        <f t="shared" ca="1" si="7"/>
        <v>0</v>
      </c>
      <c r="AJ70" s="719">
        <f t="shared" ca="1" si="9"/>
        <v>0</v>
      </c>
    </row>
    <row r="71" spans="3:36" x14ac:dyDescent="0.3">
      <c r="C71" s="574">
        <v>100</v>
      </c>
      <c r="D71" s="571">
        <v>893.2</v>
      </c>
      <c r="E71" s="570"/>
      <c r="F71" s="821">
        <v>19215</v>
      </c>
      <c r="G71" s="572">
        <f>IF(TabFIFO[[#This Row],[Price]]&gt;0,TabFIFO[[#This Row],[Number]]*TabFIFO[[#This Row],[Price]],0)*(1-Commission)</f>
        <v>89087.767999999996</v>
      </c>
      <c r="H71" s="572">
        <f>IF(TabFIFO[[#This Row],[Price]]&lt;0,TabFIFO[[#This Row],[Number]]*TabFIFO[[#This Row],[Price]],0)*(1+Commission)</f>
        <v>0</v>
      </c>
      <c r="I71" s="579">
        <f ca="1">TabFIFO[[#This Row],[Remaining]]*ID_M</f>
        <v>0</v>
      </c>
      <c r="K71" s="815"/>
      <c r="P71" s="16"/>
      <c r="R71" s="816"/>
      <c r="S71" s="816"/>
      <c r="T71" s="816"/>
      <c r="U71">
        <f ca="1"/>
        <v>0</v>
      </c>
      <c r="V71">
        <f ca="1"/>
        <v>0</v>
      </c>
      <c r="W71">
        <f ca="1"/>
        <v>0</v>
      </c>
      <c r="X71">
        <f ca="1"/>
        <v>0</v>
      </c>
      <c r="Z71">
        <v>0</v>
      </c>
      <c r="AA71">
        <v>0</v>
      </c>
      <c r="AB71" s="719"/>
      <c r="AE71" s="719">
        <f t="shared" ca="1" si="6"/>
        <v>0</v>
      </c>
      <c r="AF71" s="1427">
        <f t="shared" ca="1" si="8"/>
        <v>0</v>
      </c>
      <c r="AI71" s="719">
        <f t="shared" ca="1" si="7"/>
        <v>0</v>
      </c>
      <c r="AJ71" s="719">
        <f t="shared" ca="1" si="9"/>
        <v>0</v>
      </c>
    </row>
    <row r="72" spans="3:36" x14ac:dyDescent="0.3">
      <c r="C72" s="574">
        <v>100</v>
      </c>
      <c r="D72" s="571">
        <v>862.601</v>
      </c>
      <c r="E72" s="570"/>
      <c r="F72" s="821">
        <v>16155.100000000006</v>
      </c>
      <c r="G72" s="572">
        <f>IF(TabFIFO[[#This Row],[Price]]&gt;0,TabFIFO[[#This Row],[Number]]*TabFIFO[[#This Row],[Price]],0)*(1-Commission)</f>
        <v>86035.823740000007</v>
      </c>
      <c r="H72" s="572">
        <f>IF(TabFIFO[[#This Row],[Price]]&lt;0,TabFIFO[[#This Row],[Number]]*TabFIFO[[#This Row],[Price]],0)*(1+Commission)</f>
        <v>0</v>
      </c>
      <c r="I72" s="579">
        <f ca="1">TabFIFO[[#This Row],[Remaining]]*ID_M</f>
        <v>0</v>
      </c>
      <c r="K72" s="815"/>
      <c r="P72" s="16"/>
      <c r="R72" s="816"/>
      <c r="S72" s="816"/>
      <c r="T72" s="816"/>
      <c r="U72">
        <f ca="1"/>
        <v>0</v>
      </c>
      <c r="V72">
        <f ca="1"/>
        <v>0</v>
      </c>
      <c r="W72">
        <f ca="1"/>
        <v>0</v>
      </c>
      <c r="X72">
        <f ca="1"/>
        <v>0</v>
      </c>
      <c r="Z72">
        <v>0</v>
      </c>
      <c r="AA72">
        <v>0</v>
      </c>
      <c r="AB72" s="719"/>
      <c r="AE72" s="719">
        <f t="shared" ca="1" si="6"/>
        <v>0</v>
      </c>
      <c r="AF72" s="1427">
        <f t="shared" ca="1" si="8"/>
        <v>0</v>
      </c>
      <c r="AI72" s="719">
        <f t="shared" ca="1" si="7"/>
        <v>0</v>
      </c>
      <c r="AJ72" s="719">
        <f t="shared" ca="1" si="9"/>
        <v>0</v>
      </c>
    </row>
    <row r="73" spans="3:36" x14ac:dyDescent="0.3">
      <c r="C73" s="574">
        <v>100</v>
      </c>
      <c r="D73" s="571">
        <v>894.75</v>
      </c>
      <c r="E73" s="570"/>
      <c r="F73" s="821">
        <v>24765</v>
      </c>
      <c r="G73" s="572">
        <f>IF(TabFIFO[[#This Row],[Price]]&gt;0,TabFIFO[[#This Row],[Number]]*TabFIFO[[#This Row],[Price]],0)*(1-Commission)</f>
        <v>89242.364999999991</v>
      </c>
      <c r="H73" s="572">
        <f>IF(TabFIFO[[#This Row],[Price]]&lt;0,TabFIFO[[#This Row],[Number]]*TabFIFO[[#This Row],[Price]],0)*(1+Commission)</f>
        <v>0</v>
      </c>
      <c r="I73" s="579">
        <f ca="1">TabFIFO[[#This Row],[Remaining]]*ID_M</f>
        <v>0</v>
      </c>
      <c r="K73" s="815"/>
      <c r="P73" s="16"/>
      <c r="R73" s="816"/>
      <c r="S73" s="816"/>
      <c r="T73" s="816"/>
      <c r="U73">
        <f ca="1"/>
        <v>0</v>
      </c>
      <c r="V73">
        <f ca="1"/>
        <v>0</v>
      </c>
      <c r="W73">
        <f ca="1"/>
        <v>0</v>
      </c>
      <c r="X73">
        <f ca="1"/>
        <v>0</v>
      </c>
      <c r="Z73">
        <v>0</v>
      </c>
      <c r="AA73">
        <v>0</v>
      </c>
      <c r="AB73" s="719"/>
      <c r="AE73" s="719">
        <f t="shared" ca="1" si="6"/>
        <v>0</v>
      </c>
      <c r="AF73" s="1427">
        <f t="shared" ca="1" si="8"/>
        <v>0</v>
      </c>
      <c r="AI73" s="719">
        <f t="shared" ca="1" si="7"/>
        <v>0</v>
      </c>
      <c r="AJ73" s="719">
        <f t="shared" ca="1" si="9"/>
        <v>0</v>
      </c>
    </row>
    <row r="74" spans="3:36" x14ac:dyDescent="0.3">
      <c r="C74" s="574">
        <v>100</v>
      </c>
      <c r="D74" s="571">
        <v>910.25</v>
      </c>
      <c r="E74" s="570"/>
      <c r="F74" s="821">
        <v>26315</v>
      </c>
      <c r="G74" s="572">
        <f>IF(TabFIFO[[#This Row],[Price]]&gt;0,TabFIFO[[#This Row],[Number]]*TabFIFO[[#This Row],[Price]],0)*(1-Commission)</f>
        <v>90788.334999999992</v>
      </c>
      <c r="H74" s="572">
        <f>IF(TabFIFO[[#This Row],[Price]]&lt;0,TabFIFO[[#This Row],[Number]]*TabFIFO[[#This Row],[Price]],0)*(1+Commission)</f>
        <v>0</v>
      </c>
      <c r="I74" s="579">
        <f ca="1">TabFIFO[[#This Row],[Remaining]]*ID_M</f>
        <v>0</v>
      </c>
      <c r="K74" s="815"/>
      <c r="P74" s="16"/>
      <c r="R74" s="816"/>
      <c r="S74" s="816"/>
      <c r="T74" s="816"/>
      <c r="U74">
        <f ca="1"/>
        <v>0</v>
      </c>
      <c r="V74">
        <f ca="1"/>
        <v>0</v>
      </c>
      <c r="W74">
        <f ca="1"/>
        <v>0</v>
      </c>
      <c r="X74">
        <f ca="1"/>
        <v>0</v>
      </c>
      <c r="Z74">
        <v>0</v>
      </c>
      <c r="AA74">
        <v>0</v>
      </c>
      <c r="AB74" s="719"/>
      <c r="AE74" s="719">
        <f t="shared" ca="1" si="6"/>
        <v>0</v>
      </c>
      <c r="AF74" s="1427">
        <f t="shared" ca="1" si="8"/>
        <v>0</v>
      </c>
      <c r="AI74" s="719">
        <f t="shared" ca="1" si="7"/>
        <v>0</v>
      </c>
      <c r="AJ74" s="719">
        <f t="shared" ca="1" si="9"/>
        <v>0</v>
      </c>
    </row>
    <row r="75" spans="3:36" x14ac:dyDescent="0.3">
      <c r="C75" s="823">
        <f>SUBTOTAL(109,TabFIFO[Number])</f>
        <v>15900</v>
      </c>
      <c r="D75" s="573"/>
      <c r="E75" s="578">
        <f>SUBTOTAL(109,TabFIFO[Remaining])</f>
        <v>3600</v>
      </c>
      <c r="F75" s="257">
        <f>SUBTOTAL(109,TabFIFO[Profit/Loss])</f>
        <v>-21228.190000000002</v>
      </c>
      <c r="G75" s="257">
        <f>SUBTOTAL(109,TabFIFO[Income])</f>
        <v>5025713.3927939991</v>
      </c>
      <c r="H75" s="257">
        <f>SUBTOTAL(109,TabFIFO[Cost])</f>
        <v>-6974219.4471000005</v>
      </c>
      <c r="I75" s="257">
        <f ca="1">SUBTOTAL(109,TabFIFO[M-VALUE Now])</f>
        <v>3134880</v>
      </c>
      <c r="K75" s="815"/>
      <c r="P75" s="16"/>
      <c r="R75" s="816"/>
      <c r="S75" s="816"/>
      <c r="T75" s="816"/>
      <c r="U75">
        <f ca="1"/>
        <v>0</v>
      </c>
      <c r="V75">
        <f ca="1"/>
        <v>0</v>
      </c>
      <c r="W75">
        <f ca="1"/>
        <v>0</v>
      </c>
      <c r="X75">
        <f ca="1"/>
        <v>0</v>
      </c>
      <c r="Z75">
        <v>0</v>
      </c>
      <c r="AA75">
        <v>0</v>
      </c>
      <c r="AB75" s="719"/>
      <c r="AE75" s="719">
        <f t="shared" ca="1" si="6"/>
        <v>0</v>
      </c>
      <c r="AF75" s="1427">
        <f t="shared" ca="1" si="8"/>
        <v>0</v>
      </c>
      <c r="AI75" s="719">
        <f t="shared" ca="1" si="7"/>
        <v>0</v>
      </c>
      <c r="AJ75" s="719">
        <f t="shared" ca="1" si="9"/>
        <v>0</v>
      </c>
    </row>
    <row r="76" spans="3:36" x14ac:dyDescent="0.3">
      <c r="E76" s="574"/>
      <c r="F76">
        <v>0</v>
      </c>
      <c r="K76" s="815"/>
      <c r="P76" s="16"/>
      <c r="R76" s="816"/>
      <c r="S76" s="816"/>
      <c r="T76" s="816"/>
      <c r="U76">
        <f ca="1"/>
        <v>0</v>
      </c>
      <c r="V76">
        <f ca="1"/>
        <v>0</v>
      </c>
      <c r="W76">
        <f ca="1"/>
        <v>0</v>
      </c>
      <c r="X76">
        <f ca="1"/>
        <v>0</v>
      </c>
      <c r="Z76">
        <v>0</v>
      </c>
      <c r="AA76">
        <v>0</v>
      </c>
      <c r="AB76" s="719"/>
      <c r="AE76" s="719">
        <f t="shared" ca="1" si="6"/>
        <v>0</v>
      </c>
      <c r="AF76" s="1427">
        <f t="shared" ca="1" si="8"/>
        <v>0</v>
      </c>
      <c r="AI76" s="719">
        <f t="shared" ca="1" si="7"/>
        <v>0</v>
      </c>
      <c r="AJ76" s="719">
        <f t="shared" ca="1" si="9"/>
        <v>0</v>
      </c>
    </row>
    <row r="77" spans="3:36" x14ac:dyDescent="0.3">
      <c r="F77">
        <v>0</v>
      </c>
      <c r="K77" s="815"/>
      <c r="P77" s="16"/>
      <c r="R77" s="816"/>
      <c r="S77" s="816"/>
      <c r="T77" s="816"/>
      <c r="U77">
        <f ca="1"/>
        <v>0</v>
      </c>
      <c r="V77">
        <f ca="1"/>
        <v>0</v>
      </c>
      <c r="W77">
        <f ca="1"/>
        <v>0</v>
      </c>
      <c r="X77">
        <f ca="1"/>
        <v>0</v>
      </c>
      <c r="Z77">
        <v>0</v>
      </c>
      <c r="AA77">
        <v>0</v>
      </c>
      <c r="AB77" s="719"/>
      <c r="AE77" s="719">
        <f t="shared" ca="1" si="6"/>
        <v>0</v>
      </c>
      <c r="AF77" s="1427">
        <f t="shared" ca="1" si="8"/>
        <v>0</v>
      </c>
      <c r="AI77" s="719">
        <f t="shared" ca="1" si="7"/>
        <v>0</v>
      </c>
      <c r="AJ77" s="719">
        <f t="shared" ca="1" si="9"/>
        <v>0</v>
      </c>
    </row>
    <row r="78" spans="3:36" x14ac:dyDescent="0.3">
      <c r="F78">
        <v>0</v>
      </c>
      <c r="K78" s="815"/>
      <c r="P78" s="16"/>
      <c r="R78" s="816"/>
      <c r="S78" s="816"/>
      <c r="T78" s="816"/>
      <c r="U78">
        <f ca="1"/>
        <v>0</v>
      </c>
      <c r="V78">
        <f ca="1"/>
        <v>0</v>
      </c>
      <c r="W78">
        <f ca="1"/>
        <v>0</v>
      </c>
      <c r="X78">
        <f ca="1"/>
        <v>0</v>
      </c>
      <c r="Z78">
        <v>0</v>
      </c>
      <c r="AA78">
        <v>0</v>
      </c>
      <c r="AB78" s="719"/>
      <c r="AE78" s="719">
        <f t="shared" ca="1" si="6"/>
        <v>0</v>
      </c>
      <c r="AF78" s="1427">
        <f t="shared" ca="1" si="8"/>
        <v>0</v>
      </c>
      <c r="AI78" s="719">
        <f t="shared" ca="1" si="7"/>
        <v>0</v>
      </c>
      <c r="AJ78" s="719">
        <f t="shared" ca="1" si="9"/>
        <v>0</v>
      </c>
    </row>
    <row r="79" spans="3:36" x14ac:dyDescent="0.3">
      <c r="F79">
        <v>0</v>
      </c>
      <c r="K79" s="815"/>
      <c r="P79" s="16"/>
      <c r="R79" s="816"/>
      <c r="S79" s="816"/>
      <c r="T79" s="816"/>
      <c r="U79">
        <f ca="1"/>
        <v>0</v>
      </c>
      <c r="V79">
        <f ca="1"/>
        <v>0</v>
      </c>
      <c r="W79">
        <f ca="1"/>
        <v>0</v>
      </c>
      <c r="X79">
        <f ca="1"/>
        <v>0</v>
      </c>
      <c r="Z79">
        <v>0</v>
      </c>
      <c r="AA79">
        <v>0</v>
      </c>
      <c r="AB79" s="719"/>
      <c r="AE79" s="719">
        <f t="shared" ca="1" si="6"/>
        <v>0</v>
      </c>
      <c r="AF79" s="1427">
        <f t="shared" ca="1" si="8"/>
        <v>0</v>
      </c>
      <c r="AI79" s="719">
        <f t="shared" ca="1" si="7"/>
        <v>0</v>
      </c>
      <c r="AJ79" s="719">
        <f t="shared" ca="1" si="9"/>
        <v>0</v>
      </c>
    </row>
    <row r="80" spans="3:36" x14ac:dyDescent="0.3">
      <c r="D80" cm="1">
        <f t="array" ref="D80">COUNT(_xlfn._xlws.FILTER(TabFIFO[Price], TabFIFO[Price]&lt;0))</f>
        <v>29</v>
      </c>
      <c r="F80">
        <v>0</v>
      </c>
      <c r="H80" s="815"/>
      <c r="K80" s="815"/>
      <c r="P80" s="16"/>
      <c r="R80" s="816"/>
      <c r="S80" s="816"/>
      <c r="T80" s="816"/>
      <c r="U80">
        <f ca="1"/>
        <v>0</v>
      </c>
      <c r="V80">
        <f ca="1"/>
        <v>0</v>
      </c>
      <c r="W80">
        <f ca="1"/>
        <v>0</v>
      </c>
      <c r="X80">
        <f ca="1"/>
        <v>0</v>
      </c>
      <c r="Z80">
        <v>0</v>
      </c>
      <c r="AA80">
        <v>0</v>
      </c>
      <c r="AB80" s="719"/>
      <c r="AE80" s="719">
        <f t="shared" ca="1" si="6"/>
        <v>0</v>
      </c>
      <c r="AF80" s="1427">
        <f t="shared" ca="1" si="8"/>
        <v>0</v>
      </c>
      <c r="AI80" s="719">
        <f t="shared" ca="1" si="7"/>
        <v>0</v>
      </c>
      <c r="AJ80" s="719">
        <f t="shared" ca="1" si="9"/>
        <v>0</v>
      </c>
    </row>
    <row r="81" spans="6:36" x14ac:dyDescent="0.3">
      <c r="F81">
        <v>0</v>
      </c>
      <c r="P81" s="16"/>
      <c r="R81" s="816"/>
      <c r="S81" s="816"/>
      <c r="T81" s="816"/>
      <c r="U81">
        <f ca="1"/>
        <v>0</v>
      </c>
      <c r="V81">
        <f ca="1"/>
        <v>0</v>
      </c>
      <c r="W81">
        <f ca="1"/>
        <v>0</v>
      </c>
      <c r="X81">
        <f ca="1"/>
        <v>0</v>
      </c>
      <c r="Z81">
        <v>0</v>
      </c>
      <c r="AA81">
        <v>0</v>
      </c>
      <c r="AB81" s="719"/>
      <c r="AE81" s="719">
        <f t="shared" ca="1" si="6"/>
        <v>0</v>
      </c>
      <c r="AF81" s="1427">
        <f t="shared" ca="1" si="8"/>
        <v>0</v>
      </c>
      <c r="AI81" s="719">
        <f t="shared" ca="1" si="7"/>
        <v>0</v>
      </c>
      <c r="AJ81" s="719">
        <f t="shared" ca="1" si="9"/>
        <v>0</v>
      </c>
    </row>
    <row r="82" spans="6:36" x14ac:dyDescent="0.3">
      <c r="F82">
        <v>0</v>
      </c>
      <c r="P82" s="16"/>
      <c r="R82" s="816"/>
      <c r="S82" s="816"/>
      <c r="T82" s="816"/>
      <c r="U82">
        <f ca="1"/>
        <v>0</v>
      </c>
      <c r="V82">
        <f ca="1"/>
        <v>0</v>
      </c>
      <c r="W82">
        <f ca="1"/>
        <v>0</v>
      </c>
      <c r="X82">
        <f ca="1"/>
        <v>0</v>
      </c>
      <c r="Z82">
        <v>0</v>
      </c>
      <c r="AA82">
        <v>0</v>
      </c>
      <c r="AB82" s="719"/>
      <c r="AE82" s="719">
        <f t="shared" ca="1" si="6"/>
        <v>0</v>
      </c>
      <c r="AF82" s="1427">
        <f t="shared" ca="1" si="8"/>
        <v>0</v>
      </c>
      <c r="AI82" s="719">
        <f t="shared" ca="1" si="7"/>
        <v>0</v>
      </c>
      <c r="AJ82" s="719">
        <f t="shared" ca="1" si="9"/>
        <v>0</v>
      </c>
    </row>
    <row r="83" spans="6:36" x14ac:dyDescent="0.3">
      <c r="F83">
        <v>0</v>
      </c>
      <c r="P83" s="16"/>
      <c r="R83" s="816"/>
      <c r="S83" s="816"/>
      <c r="T83" s="816"/>
      <c r="U83">
        <f ca="1"/>
        <v>0</v>
      </c>
      <c r="V83">
        <f ca="1"/>
        <v>0</v>
      </c>
      <c r="W83">
        <f ca="1"/>
        <v>0</v>
      </c>
      <c r="X83">
        <f ca="1"/>
        <v>0</v>
      </c>
      <c r="Z83">
        <v>0</v>
      </c>
      <c r="AA83">
        <v>0</v>
      </c>
      <c r="AB83" s="719"/>
      <c r="AE83" s="719">
        <f t="shared" ca="1" si="6"/>
        <v>0</v>
      </c>
      <c r="AF83" s="1427">
        <f t="shared" ca="1" si="8"/>
        <v>0</v>
      </c>
      <c r="AI83" s="719">
        <f t="shared" ca="1" si="7"/>
        <v>0</v>
      </c>
      <c r="AJ83" s="719">
        <f t="shared" ca="1" si="9"/>
        <v>0</v>
      </c>
    </row>
    <row r="84" spans="6:36" x14ac:dyDescent="0.3">
      <c r="F84">
        <v>0</v>
      </c>
      <c r="P84" s="16"/>
      <c r="R84" s="816"/>
      <c r="S84" s="816"/>
      <c r="T84" s="816"/>
      <c r="U84">
        <f ca="1"/>
        <v>0</v>
      </c>
      <c r="V84">
        <f ca="1"/>
        <v>0</v>
      </c>
      <c r="W84">
        <f ca="1"/>
        <v>0</v>
      </c>
      <c r="X84">
        <f ca="1"/>
        <v>0</v>
      </c>
      <c r="Z84">
        <v>0</v>
      </c>
      <c r="AA84">
        <v>0</v>
      </c>
      <c r="AB84" s="719"/>
      <c r="AE84" s="719">
        <f t="shared" ca="1" si="6"/>
        <v>0</v>
      </c>
      <c r="AF84" s="1427">
        <f t="shared" ca="1" si="8"/>
        <v>0</v>
      </c>
      <c r="AI84" s="719">
        <f t="shared" ca="1" si="7"/>
        <v>0</v>
      </c>
      <c r="AJ84" s="719">
        <f t="shared" ca="1" si="9"/>
        <v>0</v>
      </c>
    </row>
    <row r="85" spans="6:36" x14ac:dyDescent="0.3">
      <c r="F85">
        <v>0</v>
      </c>
      <c r="P85" s="16"/>
      <c r="R85" s="816"/>
      <c r="S85" s="816"/>
      <c r="T85" s="816"/>
      <c r="U85">
        <f ca="1"/>
        <v>0</v>
      </c>
      <c r="V85">
        <f ca="1"/>
        <v>0</v>
      </c>
      <c r="W85">
        <f ca="1"/>
        <v>0</v>
      </c>
      <c r="X85">
        <f ca="1"/>
        <v>0</v>
      </c>
      <c r="Z85">
        <v>0</v>
      </c>
      <c r="AA85">
        <v>0</v>
      </c>
      <c r="AB85" s="719"/>
      <c r="AE85" s="719">
        <f t="shared" ca="1" si="6"/>
        <v>0</v>
      </c>
      <c r="AF85" s="1427">
        <f t="shared" ca="1" si="8"/>
        <v>0</v>
      </c>
      <c r="AI85" s="719">
        <f t="shared" ca="1" si="7"/>
        <v>0</v>
      </c>
      <c r="AJ85" s="719">
        <f t="shared" ca="1" si="9"/>
        <v>0</v>
      </c>
    </row>
    <row r="86" spans="6:36" x14ac:dyDescent="0.3">
      <c r="F86">
        <v>0</v>
      </c>
      <c r="P86" s="16"/>
      <c r="R86" s="816"/>
      <c r="S86" s="816"/>
      <c r="T86" s="816"/>
      <c r="U86">
        <f ca="1"/>
        <v>0</v>
      </c>
      <c r="V86">
        <f ca="1"/>
        <v>0</v>
      </c>
      <c r="W86">
        <f ca="1"/>
        <v>0</v>
      </c>
      <c r="X86">
        <f ca="1"/>
        <v>0</v>
      </c>
      <c r="Z86">
        <v>0</v>
      </c>
      <c r="AA86">
        <v>0</v>
      </c>
      <c r="AB86" s="719"/>
      <c r="AE86" s="719">
        <f t="shared" ref="AE86:AE99" ca="1" si="10">AD86*ID_M</f>
        <v>0</v>
      </c>
      <c r="AF86" s="1427">
        <f t="shared" ca="1" si="8"/>
        <v>0</v>
      </c>
      <c r="AI86" s="719">
        <f t="shared" ref="AI86:AI99" ca="1" si="11">AH86*ID_M</f>
        <v>0</v>
      </c>
      <c r="AJ86" s="719">
        <f t="shared" ca="1" si="9"/>
        <v>0</v>
      </c>
    </row>
    <row r="87" spans="6:36" x14ac:dyDescent="0.3">
      <c r="F87">
        <v>0</v>
      </c>
      <c r="P87" s="16"/>
      <c r="R87" s="816"/>
      <c r="S87" s="816"/>
      <c r="T87" s="816"/>
      <c r="U87">
        <f ca="1"/>
        <v>0</v>
      </c>
      <c r="V87">
        <f ca="1"/>
        <v>0</v>
      </c>
      <c r="W87">
        <f ca="1"/>
        <v>0</v>
      </c>
      <c r="X87">
        <f ca="1"/>
        <v>0</v>
      </c>
      <c r="Z87">
        <v>0</v>
      </c>
      <c r="AA87">
        <v>0</v>
      </c>
      <c r="AB87" s="719"/>
      <c r="AE87" s="719">
        <f t="shared" ca="1" si="10"/>
        <v>0</v>
      </c>
      <c r="AF87" s="1427">
        <f t="shared" ref="AF87:AF99" ca="1" si="12">AD87*(ID_M+AC87)</f>
        <v>0</v>
      </c>
      <c r="AI87" s="719">
        <f t="shared" ca="1" si="11"/>
        <v>0</v>
      </c>
      <c r="AJ87" s="719">
        <f t="shared" ref="AJ87:AJ99" ca="1" si="13">AG87*(ID_M-AH87)</f>
        <v>0</v>
      </c>
    </row>
    <row r="88" spans="6:36" x14ac:dyDescent="0.3">
      <c r="F88">
        <v>0</v>
      </c>
      <c r="P88" s="16"/>
      <c r="R88" s="816"/>
      <c r="S88" s="816"/>
      <c r="T88" s="816"/>
      <c r="U88">
        <f ca="1"/>
        <v>0</v>
      </c>
      <c r="V88">
        <f ca="1"/>
        <v>0</v>
      </c>
      <c r="W88">
        <f ca="1"/>
        <v>0</v>
      </c>
      <c r="X88">
        <f ca="1"/>
        <v>0</v>
      </c>
      <c r="Z88">
        <v>0</v>
      </c>
      <c r="AA88">
        <v>0</v>
      </c>
      <c r="AB88" s="719"/>
      <c r="AE88" s="719">
        <f t="shared" ca="1" si="10"/>
        <v>0</v>
      </c>
      <c r="AF88" s="1427">
        <f t="shared" ca="1" si="12"/>
        <v>0</v>
      </c>
      <c r="AI88" s="719">
        <f t="shared" ca="1" si="11"/>
        <v>0</v>
      </c>
      <c r="AJ88" s="719">
        <f t="shared" ca="1" si="13"/>
        <v>0</v>
      </c>
    </row>
    <row r="89" spans="6:36" x14ac:dyDescent="0.3">
      <c r="F89">
        <v>0</v>
      </c>
      <c r="P89" s="16"/>
      <c r="R89" s="816"/>
      <c r="S89" s="816"/>
      <c r="T89" s="816"/>
      <c r="U89">
        <f ca="1"/>
        <v>0</v>
      </c>
      <c r="V89">
        <f ca="1"/>
        <v>0</v>
      </c>
      <c r="W89">
        <f ca="1"/>
        <v>0</v>
      </c>
      <c r="X89">
        <f ca="1"/>
        <v>0</v>
      </c>
      <c r="Z89">
        <v>0</v>
      </c>
      <c r="AA89">
        <v>0</v>
      </c>
      <c r="AB89" s="719"/>
      <c r="AE89" s="719">
        <f t="shared" ca="1" si="10"/>
        <v>0</v>
      </c>
      <c r="AF89" s="1427">
        <f t="shared" ca="1" si="12"/>
        <v>0</v>
      </c>
      <c r="AI89" s="719">
        <f t="shared" ca="1" si="11"/>
        <v>0</v>
      </c>
      <c r="AJ89" s="719">
        <f t="shared" ca="1" si="13"/>
        <v>0</v>
      </c>
    </row>
    <row r="90" spans="6:36" x14ac:dyDescent="0.3">
      <c r="F90">
        <v>0</v>
      </c>
      <c r="P90" s="16"/>
      <c r="R90" s="816"/>
      <c r="S90" s="816"/>
      <c r="T90" s="816"/>
      <c r="U90">
        <f ca="1"/>
        <v>0</v>
      </c>
      <c r="V90">
        <f ca="1"/>
        <v>0</v>
      </c>
      <c r="W90">
        <f ca="1"/>
        <v>0</v>
      </c>
      <c r="X90">
        <f ca="1"/>
        <v>0</v>
      </c>
      <c r="Z90">
        <v>0</v>
      </c>
      <c r="AA90">
        <v>0</v>
      </c>
      <c r="AB90" s="719"/>
      <c r="AE90" s="719">
        <f t="shared" ca="1" si="10"/>
        <v>0</v>
      </c>
      <c r="AF90" s="1427">
        <f t="shared" ca="1" si="12"/>
        <v>0</v>
      </c>
      <c r="AI90" s="719">
        <f t="shared" ca="1" si="11"/>
        <v>0</v>
      </c>
      <c r="AJ90" s="719">
        <f t="shared" ca="1" si="13"/>
        <v>0</v>
      </c>
    </row>
    <row r="91" spans="6:36" x14ac:dyDescent="0.3">
      <c r="P91" s="16"/>
      <c r="R91" s="816"/>
      <c r="S91" s="816"/>
      <c r="T91" s="816"/>
      <c r="U91">
        <f ca="1"/>
        <v>0</v>
      </c>
      <c r="V91">
        <f ca="1"/>
        <v>0</v>
      </c>
      <c r="W91">
        <f ca="1"/>
        <v>0</v>
      </c>
      <c r="X91">
        <f ca="1"/>
        <v>0</v>
      </c>
      <c r="Z91">
        <v>0</v>
      </c>
      <c r="AA91">
        <v>0</v>
      </c>
      <c r="AB91" s="719"/>
      <c r="AE91" s="719">
        <f t="shared" ca="1" si="10"/>
        <v>0</v>
      </c>
      <c r="AF91" s="1427">
        <f t="shared" ca="1" si="12"/>
        <v>0</v>
      </c>
      <c r="AI91" s="719">
        <f t="shared" ca="1" si="11"/>
        <v>0</v>
      </c>
      <c r="AJ91" s="719">
        <f t="shared" ca="1" si="13"/>
        <v>0</v>
      </c>
    </row>
    <row r="92" spans="6:36" x14ac:dyDescent="0.3">
      <c r="P92" s="16"/>
      <c r="R92" s="816"/>
      <c r="S92" s="816"/>
      <c r="T92" s="816"/>
      <c r="U92">
        <f ca="1"/>
        <v>0</v>
      </c>
      <c r="V92">
        <f ca="1"/>
        <v>0</v>
      </c>
      <c r="W92">
        <f ca="1"/>
        <v>0</v>
      </c>
      <c r="X92">
        <f ca="1"/>
        <v>0</v>
      </c>
      <c r="Z92">
        <v>0</v>
      </c>
      <c r="AA92">
        <v>0</v>
      </c>
      <c r="AB92" s="719"/>
      <c r="AE92" s="719">
        <f t="shared" ca="1" si="10"/>
        <v>0</v>
      </c>
      <c r="AF92" s="1427">
        <f t="shared" ca="1" si="12"/>
        <v>0</v>
      </c>
      <c r="AI92" s="719">
        <f t="shared" ca="1" si="11"/>
        <v>0</v>
      </c>
      <c r="AJ92" s="719">
        <f t="shared" ca="1" si="13"/>
        <v>0</v>
      </c>
    </row>
    <row r="93" spans="6:36" x14ac:dyDescent="0.3">
      <c r="P93" s="16"/>
      <c r="R93" s="816"/>
      <c r="S93" s="816"/>
      <c r="T93" s="816"/>
      <c r="U93">
        <f ca="1"/>
        <v>0</v>
      </c>
      <c r="V93">
        <f ca="1"/>
        <v>0</v>
      </c>
      <c r="W93">
        <f ca="1"/>
        <v>0</v>
      </c>
      <c r="X93">
        <f ca="1"/>
        <v>0</v>
      </c>
      <c r="Z93">
        <v>0</v>
      </c>
      <c r="AA93">
        <v>0</v>
      </c>
      <c r="AB93" s="719"/>
      <c r="AE93" s="719">
        <f t="shared" ca="1" si="10"/>
        <v>0</v>
      </c>
      <c r="AF93" s="1427">
        <f t="shared" ca="1" si="12"/>
        <v>0</v>
      </c>
      <c r="AI93" s="719">
        <f t="shared" ca="1" si="11"/>
        <v>0</v>
      </c>
      <c r="AJ93" s="719">
        <f t="shared" ca="1" si="13"/>
        <v>0</v>
      </c>
    </row>
    <row r="94" spans="6:36" x14ac:dyDescent="0.3">
      <c r="P94" s="16"/>
      <c r="R94" s="816"/>
      <c r="S94" s="816"/>
      <c r="T94" s="816"/>
      <c r="U94">
        <f ca="1"/>
        <v>0</v>
      </c>
      <c r="V94">
        <f ca="1"/>
        <v>0</v>
      </c>
      <c r="W94">
        <f ca="1"/>
        <v>0</v>
      </c>
      <c r="X94">
        <f ca="1"/>
        <v>0</v>
      </c>
      <c r="Z94">
        <v>0</v>
      </c>
      <c r="AA94">
        <v>0</v>
      </c>
      <c r="AB94" s="719"/>
      <c r="AE94" s="719">
        <f t="shared" ca="1" si="10"/>
        <v>0</v>
      </c>
      <c r="AF94" s="1427">
        <f t="shared" ca="1" si="12"/>
        <v>0</v>
      </c>
      <c r="AI94" s="719">
        <f t="shared" ca="1" si="11"/>
        <v>0</v>
      </c>
      <c r="AJ94" s="719">
        <f t="shared" ca="1" si="13"/>
        <v>0</v>
      </c>
    </row>
    <row r="95" spans="6:36" x14ac:dyDescent="0.3">
      <c r="P95" s="16"/>
      <c r="R95" s="816"/>
      <c r="S95" s="816"/>
      <c r="T95" s="816"/>
      <c r="U95">
        <f ca="1"/>
        <v>0</v>
      </c>
      <c r="V95">
        <f ca="1"/>
        <v>0</v>
      </c>
      <c r="W95">
        <f ca="1"/>
        <v>0</v>
      </c>
      <c r="X95">
        <f ca="1"/>
        <v>0</v>
      </c>
      <c r="Z95">
        <v>0</v>
      </c>
      <c r="AA95">
        <v>0</v>
      </c>
      <c r="AB95" s="719"/>
      <c r="AE95" s="719">
        <f t="shared" ca="1" si="10"/>
        <v>0</v>
      </c>
      <c r="AF95" s="1427">
        <f t="shared" ca="1" si="12"/>
        <v>0</v>
      </c>
      <c r="AI95" s="719">
        <f t="shared" ca="1" si="11"/>
        <v>0</v>
      </c>
      <c r="AJ95" s="719">
        <f t="shared" ca="1" si="13"/>
        <v>0</v>
      </c>
    </row>
    <row r="96" spans="6:36" x14ac:dyDescent="0.3">
      <c r="P96" s="16"/>
      <c r="R96" s="816"/>
      <c r="S96" s="816"/>
      <c r="T96" s="816"/>
      <c r="U96">
        <f ca="1"/>
        <v>0</v>
      </c>
      <c r="V96">
        <f ca="1"/>
        <v>0</v>
      </c>
      <c r="W96">
        <f ca="1"/>
        <v>0</v>
      </c>
      <c r="X96">
        <f ca="1"/>
        <v>0</v>
      </c>
      <c r="Z96">
        <v>0</v>
      </c>
      <c r="AA96">
        <v>0</v>
      </c>
      <c r="AB96" s="719"/>
      <c r="AE96" s="719">
        <f t="shared" ca="1" si="10"/>
        <v>0</v>
      </c>
      <c r="AF96" s="1427">
        <f t="shared" ca="1" si="12"/>
        <v>0</v>
      </c>
      <c r="AI96" s="719">
        <f t="shared" ca="1" si="11"/>
        <v>0</v>
      </c>
      <c r="AJ96" s="719">
        <f t="shared" ca="1" si="13"/>
        <v>0</v>
      </c>
    </row>
    <row r="97" spans="16:36" x14ac:dyDescent="0.3">
      <c r="P97" s="16"/>
      <c r="R97" s="816"/>
      <c r="S97" s="816"/>
      <c r="T97" s="816"/>
      <c r="U97">
        <f ca="1"/>
        <v>0</v>
      </c>
      <c r="V97">
        <f ca="1"/>
        <v>0</v>
      </c>
      <c r="W97">
        <f ca="1"/>
        <v>0</v>
      </c>
      <c r="X97">
        <f ca="1"/>
        <v>0</v>
      </c>
      <c r="Z97">
        <v>0</v>
      </c>
      <c r="AA97">
        <v>0</v>
      </c>
      <c r="AB97" s="719"/>
      <c r="AE97" s="719">
        <f t="shared" ca="1" si="10"/>
        <v>0</v>
      </c>
      <c r="AF97" s="1427">
        <f t="shared" ca="1" si="12"/>
        <v>0</v>
      </c>
      <c r="AI97" s="719">
        <f t="shared" ca="1" si="11"/>
        <v>0</v>
      </c>
      <c r="AJ97" s="719">
        <f t="shared" ca="1" si="13"/>
        <v>0</v>
      </c>
    </row>
    <row r="98" spans="16:36" x14ac:dyDescent="0.3">
      <c r="P98" s="16"/>
      <c r="R98" s="816"/>
      <c r="S98" s="816"/>
      <c r="T98" s="816"/>
      <c r="U98">
        <f ca="1"/>
        <v>0</v>
      </c>
      <c r="V98">
        <f ca="1"/>
        <v>0</v>
      </c>
      <c r="W98">
        <f ca="1"/>
        <v>0</v>
      </c>
      <c r="X98">
        <f ca="1"/>
        <v>0</v>
      </c>
      <c r="Z98">
        <v>0</v>
      </c>
      <c r="AA98">
        <v>0</v>
      </c>
      <c r="AB98" s="719"/>
      <c r="AE98" s="719">
        <f t="shared" ca="1" si="10"/>
        <v>0</v>
      </c>
      <c r="AF98" s="1427">
        <f t="shared" ca="1" si="12"/>
        <v>0</v>
      </c>
      <c r="AI98" s="719">
        <f t="shared" ca="1" si="11"/>
        <v>0</v>
      </c>
      <c r="AJ98" s="719">
        <f t="shared" ca="1" si="13"/>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0"/>
        <v>0</v>
      </c>
      <c r="AF99" s="1427">
        <f t="shared" ca="1" si="12"/>
        <v>0</v>
      </c>
      <c r="AI99" s="719">
        <f t="shared" ca="1" si="11"/>
        <v>0</v>
      </c>
      <c r="AJ99" s="719">
        <f t="shared" ca="1" si="13"/>
        <v>0</v>
      </c>
    </row>
    <row r="100" spans="16:36" ht="23" thickTop="1" x14ac:dyDescent="0.3">
      <c r="AF100" s="1428"/>
    </row>
    <row r="142" spans="3:4" x14ac:dyDescent="0.3">
      <c r="C142" s="88"/>
      <c r="D142" s="82"/>
    </row>
    <row r="143" spans="3:4" x14ac:dyDescent="0.3">
      <c r="C143" s="88"/>
      <c r="D143" s="82"/>
    </row>
    <row r="144" spans="3:4" x14ac:dyDescent="0.3">
      <c r="C144" s="88"/>
      <c r="D144" s="82"/>
    </row>
    <row r="145" spans="3:4" x14ac:dyDescent="0.3">
      <c r="C145" s="88"/>
      <c r="D145" s="82"/>
    </row>
    <row r="146" spans="3:4" x14ac:dyDescent="0.3">
      <c r="C146" s="88"/>
      <c r="D146" s="82"/>
    </row>
    <row r="147" spans="3:4" x14ac:dyDescent="0.3">
      <c r="C147" s="88"/>
      <c r="D147" s="82"/>
    </row>
    <row r="148" spans="3:4" x14ac:dyDescent="0.3">
      <c r="C148" s="88"/>
      <c r="D148" s="82"/>
    </row>
    <row r="149" spans="3:4" x14ac:dyDescent="0.3">
      <c r="C149" s="88"/>
      <c r="D149" s="82"/>
    </row>
    <row r="150" spans="3:4" x14ac:dyDescent="0.3">
      <c r="C150" s="88"/>
      <c r="D150" s="82"/>
    </row>
    <row r="151" spans="3:4" x14ac:dyDescent="0.3">
      <c r="C151" s="88"/>
      <c r="D151" s="82"/>
    </row>
    <row r="152" spans="3:4" x14ac:dyDescent="0.3">
      <c r="C152" s="88"/>
      <c r="D152" s="82"/>
    </row>
    <row r="153" spans="3:4" x14ac:dyDescent="0.3">
      <c r="C153" s="88"/>
      <c r="D153" s="82"/>
    </row>
    <row r="154" spans="3:4" x14ac:dyDescent="0.3">
      <c r="C154" s="88"/>
      <c r="D154" s="82"/>
    </row>
    <row r="155" spans="3:4" x14ac:dyDescent="0.3">
      <c r="C155" s="88"/>
      <c r="D155" s="82"/>
    </row>
    <row r="156" spans="3:4" x14ac:dyDescent="0.3">
      <c r="C156" s="88"/>
      <c r="D156" s="82"/>
    </row>
    <row r="157" spans="3:4" x14ac:dyDescent="0.3">
      <c r="C157" s="88"/>
      <c r="D157" s="82"/>
    </row>
    <row r="158" spans="3:4" x14ac:dyDescent="0.3">
      <c r="C158" s="88"/>
      <c r="D158" s="82"/>
    </row>
    <row r="159" spans="3:4" x14ac:dyDescent="0.3">
      <c r="C159" s="88"/>
      <c r="D159" s="82"/>
    </row>
    <row r="160" spans="3:4" x14ac:dyDescent="0.3">
      <c r="C160" s="88"/>
      <c r="D160" s="82"/>
    </row>
  </sheetData>
  <autoFilter ref="L3:M24" xr:uid="{EF59AA03-5DFB-5944-9EED-C02761F17A18}"/>
  <mergeCells count="3">
    <mergeCell ref="L1:O1"/>
    <mergeCell ref="C7:D7"/>
    <mergeCell ref="AC16:AC17"/>
  </mergeCells>
  <phoneticPr fontId="49" type="noConversion"/>
  <conditionalFormatting sqref="C15">
    <cfRule type="cellIs" dxfId="723" priority="37" operator="greaterThan">
      <formula>0</formula>
    </cfRule>
    <cfRule type="cellIs" dxfId="722" priority="38" operator="lessThan">
      <formula>0</formula>
    </cfRule>
  </conditionalFormatting>
  <conditionalFormatting sqref="H16:J16">
    <cfRule type="expression" dxfId="721" priority="14">
      <formula>$I$16&gt;$I$15</formula>
    </cfRule>
    <cfRule type="cellIs" dxfId="720" priority="35" operator="greaterThan">
      <formula>0</formula>
    </cfRule>
    <cfRule type="cellIs" dxfId="719" priority="36" operator="lessThan">
      <formula>0</formula>
    </cfRule>
  </conditionalFormatting>
  <conditionalFormatting sqref="C16">
    <cfRule type="cellIs" dxfId="718" priority="34" operator="lessThan">
      <formula>"-"</formula>
    </cfRule>
  </conditionalFormatting>
  <conditionalFormatting sqref="A8">
    <cfRule type="cellIs" dxfId="717" priority="15" operator="lessThan">
      <formula>0</formula>
    </cfRule>
    <cfRule type="cellIs" dxfId="716" priority="16" operator="greaterThan">
      <formula>0</formula>
    </cfRule>
  </conditionalFormatting>
  <conditionalFormatting sqref="A6">
    <cfRule type="expression" dxfId="715" priority="1833">
      <formula>AND($A$6&gt;0,$A$6&lt;$E$19)</formula>
    </cfRule>
    <cfRule type="containsText" dxfId="714" priority="1834" operator="containsText" text="n/a">
      <formula>NOT(ISERROR(SEARCH("n/a",A6)))</formula>
    </cfRule>
  </conditionalFormatting>
  <conditionalFormatting sqref="D17:D18">
    <cfRule type="expression" dxfId="713" priority="9">
      <formula>$D$16&gt;0</formula>
    </cfRule>
  </conditionalFormatting>
  <conditionalFormatting sqref="C9:C11 F9:F11">
    <cfRule type="cellIs" dxfId="712" priority="7" operator="lessThan">
      <formula>0.5</formula>
    </cfRule>
    <cfRule type="cellIs" dxfId="711" priority="11" stopIfTrue="1" operator="greaterThan">
      <formula>0.5</formula>
    </cfRule>
  </conditionalFormatting>
  <conditionalFormatting sqref="U20:U99">
    <cfRule type="cellIs" dxfId="710" priority="5" operator="equal">
      <formula>$K$5</formula>
    </cfRule>
    <cfRule type="cellIs" dxfId="709" priority="6" operator="equal">
      <formula>$D$19</formula>
    </cfRule>
  </conditionalFormatting>
  <conditionalFormatting sqref="AC19 AF22:AF42">
    <cfRule type="expression" dxfId="708" priority="4">
      <formula>$AC$19&gt;$AD$19</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V193"/>
  <sheetViews>
    <sheetView topLeftCell="S1" zoomScale="70" zoomScaleNormal="70" workbookViewId="0">
      <selection activeCell="X19" sqref="X1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6.25" style="1" bestFit="1" customWidth="1"/>
    <col min="32" max="32" width="14.5" style="1" bestFit="1" customWidth="1"/>
    <col min="33" max="33" width="15.875" bestFit="1" customWidth="1"/>
    <col min="34" max="34" width="15.75" customWidth="1"/>
    <col min="35" max="35" width="11.25" bestFit="1" customWidth="1"/>
    <col min="36" max="36" width="22" bestFit="1" customWidth="1"/>
    <col min="37" max="37" width="10.625" bestFit="1" customWidth="1"/>
    <col min="38" max="38" width="10.75" bestFit="1" customWidth="1"/>
    <col min="39" max="39" width="10.375" bestFit="1" customWidth="1"/>
    <col min="40" max="40" width="12.625" bestFit="1" customWidth="1"/>
    <col min="41" max="41" width="18.125" customWidth="1"/>
    <col min="42" max="42" width="10.5" bestFit="1" customWidth="1"/>
    <col min="43" max="43" width="12.5" bestFit="1" customWidth="1"/>
    <col min="44" max="44" width="8.875" bestFit="1" customWidth="1"/>
    <col min="45" max="46" width="10.5" customWidth="1"/>
    <col min="47" max="47" width="14.875" customWidth="1"/>
    <col min="48" max="48" width="10" customWidth="1"/>
    <col min="49" max="49" width="8.5" customWidth="1"/>
    <col min="50" max="50" width="12.25" customWidth="1"/>
    <col min="51" max="51" width="23.375" customWidth="1"/>
    <col min="52" max="52" width="16.875" customWidth="1"/>
    <col min="53" max="53" width="11.5" customWidth="1"/>
    <col min="54" max="54" width="8.625" style="93" customWidth="1"/>
    <col min="55" max="55" width="8.875" customWidth="1"/>
    <col min="57" max="57" width="11.875" style="409" bestFit="1" customWidth="1"/>
    <col min="58" max="58" width="8.125" bestFit="1" customWidth="1"/>
    <col min="59" max="59" width="13.375" bestFit="1" customWidth="1"/>
    <col min="60" max="60" width="9.625" customWidth="1"/>
    <col min="61" max="61" width="19.875" bestFit="1" customWidth="1"/>
    <col min="62" max="62" width="18.625" bestFit="1" customWidth="1"/>
    <col min="66" max="66" width="10.25" bestFit="1" customWidth="1"/>
  </cols>
  <sheetData>
    <row r="1" spans="1:74"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0" t="s">
        <v>2193</v>
      </c>
      <c r="Q1" s="1471"/>
      <c r="R1" s="1471"/>
      <c r="S1" s="1472"/>
      <c r="T1" s="784" t="s">
        <v>183</v>
      </c>
      <c r="U1" s="696" t="s">
        <v>2638</v>
      </c>
      <c r="V1" s="1385" t="s">
        <v>2078</v>
      </c>
      <c r="W1" s="1431" t="s">
        <v>2087</v>
      </c>
      <c r="X1" s="1430" t="s">
        <v>1889</v>
      </c>
      <c r="Y1" s="783" t="s">
        <v>682</v>
      </c>
      <c r="Z1" s="834" t="s">
        <v>2235</v>
      </c>
      <c r="AA1" s="1011" t="s">
        <v>2475</v>
      </c>
      <c r="AB1" s="826" t="s">
        <v>2281</v>
      </c>
      <c r="AD1" s="1473" t="s">
        <v>2570</v>
      </c>
      <c r="AE1" s="1474"/>
      <c r="AF1" s="1474"/>
      <c r="AG1" s="1474"/>
      <c r="AH1" s="1373"/>
      <c r="AI1" s="1409" t="s">
        <v>2763</v>
      </c>
      <c r="AJ1" s="1374"/>
      <c r="AK1" s="1375"/>
      <c r="AL1" s="1169"/>
      <c r="AM1" s="1169"/>
      <c r="AN1" s="1169"/>
      <c r="AO1" s="1169"/>
      <c r="AP1" s="1169"/>
      <c r="AQ1" s="1475" t="s">
        <v>2532</v>
      </c>
      <c r="AR1" s="1475"/>
      <c r="AS1" s="947"/>
      <c r="AT1" s="947"/>
      <c r="AU1" s="1476" t="s">
        <v>2323</v>
      </c>
      <c r="AV1" s="1477"/>
      <c r="AW1" s="1478" t="s">
        <v>2229</v>
      </c>
      <c r="AX1" s="1478"/>
      <c r="AY1" s="800" t="s">
        <v>2227</v>
      </c>
      <c r="AZ1" s="1479" t="s">
        <v>2511</v>
      </c>
      <c r="BA1" s="1480"/>
      <c r="BB1" s="1480"/>
      <c r="BC1" s="1467" t="s">
        <v>2194</v>
      </c>
      <c r="BD1" s="1468"/>
      <c r="BE1" s="1468"/>
      <c r="BF1" s="1469"/>
      <c r="BG1" s="694" t="s">
        <v>2098</v>
      </c>
      <c r="BH1" s="799" t="s">
        <v>1917</v>
      </c>
      <c r="BI1" s="754"/>
      <c r="BJ1" s="754"/>
    </row>
    <row r="2" spans="1:74"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2759</v>
      </c>
      <c r="AF2" s="1404" t="s">
        <v>2571</v>
      </c>
      <c r="AG2" s="1193" t="s">
        <v>2675</v>
      </c>
      <c r="AH2" s="1372" t="s">
        <v>2731</v>
      </c>
      <c r="AI2" s="1372" t="s">
        <v>2748</v>
      </c>
      <c r="AJ2" s="1372" t="s">
        <v>2747</v>
      </c>
      <c r="AK2" s="1372" t="s">
        <v>2760</v>
      </c>
      <c r="AL2" s="1196" t="s">
        <v>2674</v>
      </c>
      <c r="AM2" s="759" t="s">
        <v>2732</v>
      </c>
      <c r="AN2" s="759" t="s">
        <v>2733</v>
      </c>
      <c r="AO2" s="759" t="s">
        <v>2415</v>
      </c>
      <c r="AP2" s="954" t="s">
        <v>2411</v>
      </c>
      <c r="AQ2" s="954" t="s">
        <v>2412</v>
      </c>
      <c r="AR2" s="1286" t="s">
        <v>2578</v>
      </c>
      <c r="AS2" s="1284" t="s">
        <v>2503</v>
      </c>
      <c r="AT2" s="805" t="s">
        <v>2413</v>
      </c>
      <c r="AU2" s="805" t="s">
        <v>2414</v>
      </c>
      <c r="AV2" s="833" t="s">
        <v>2232</v>
      </c>
      <c r="AW2" s="833" t="s">
        <v>2233</v>
      </c>
      <c r="AX2" s="759" t="s">
        <v>2197</v>
      </c>
      <c r="AY2" s="735" t="s">
        <v>2144</v>
      </c>
      <c r="AZ2" s="806" t="s">
        <v>2142</v>
      </c>
      <c r="BA2" s="713" t="s">
        <v>2102</v>
      </c>
      <c r="BB2" s="662" t="s">
        <v>1446</v>
      </c>
      <c r="BC2" s="727" t="s">
        <v>1686</v>
      </c>
      <c r="BD2" s="663" t="s">
        <v>1879</v>
      </c>
      <c r="BE2" s="933" t="s">
        <v>2402</v>
      </c>
      <c r="BF2" s="695" t="s">
        <v>2079</v>
      </c>
      <c r="BG2" s="637" t="s">
        <v>1878</v>
      </c>
      <c r="BH2" s="637" t="s">
        <v>2214</v>
      </c>
      <c r="BI2" s="689" t="s">
        <v>2086</v>
      </c>
      <c r="BJ2" s="689" t="s">
        <v>2131</v>
      </c>
      <c r="BK2" s="668" t="s">
        <v>1885</v>
      </c>
      <c r="BL2" s="1" t="s">
        <v>1881</v>
      </c>
      <c r="BM2" s="758" t="s">
        <v>2141</v>
      </c>
      <c r="BN2" s="908" t="s">
        <v>2688</v>
      </c>
      <c r="BO2" s="678" t="s">
        <v>2212</v>
      </c>
      <c r="BP2" s="678" t="s">
        <v>2324</v>
      </c>
      <c r="BQ2" s="753" t="s">
        <v>2325</v>
      </c>
      <c r="BR2" s="1278" t="s">
        <v>2080</v>
      </c>
      <c r="BS2" s="678" t="s">
        <v>2084</v>
      </c>
      <c r="BT2" s="678" t="s">
        <v>2085</v>
      </c>
      <c r="BU2" s="1276" t="s">
        <v>2689</v>
      </c>
    </row>
    <row r="3" spans="1:74"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+3,895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2,447</v>
      </c>
      <c r="F3" s="226" t="str">
        <f ca="1">TRUNC(TabCalc[[#This Row],[L_B1p]],2)&amp;"x"&amp;TabCalc[[#This Row],[L_B1n]]&amp;"=   "&amp;TEXT(TabCalc[[#This Row],[ReverseS1]],"#,#0")&amp;"$"</f>
        <v>-200.7x300=   20,189$</v>
      </c>
      <c r="G3" s="225" t="str">
        <f ca="1">IFERROR(TRUNC(_xlfn.XLOOKUP(Tab_NewTRADER[[#This Row],[ClickTick]],TabCalc[Ticker],ListLastSalep),2)&amp;"x"&amp;_xlfn.XLOOKUP(Tab_NewTRADER[[#This Row],[ClickTick]],TabCalc[Ticker],ListLastSalen)&amp;"=   "&amp;TEXT(-_xlfn.XLOOKUP(Tab_NewTRADER[[#This Row],[ClickTick]],TabCalc[Ticker],ListReverseB),"#,#0")&amp;"$","")</f>
        <v>270.04x500=   -1,022$</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2,447</v>
      </c>
      <c r="I3" s="226" t="str">
        <f ca="1">IFERROR(TRUNC(TabCalc[[#This Row],[L_S1p]],2)&amp;"x"&amp;TabCalc[[#This Row],[L_S1n]]&amp;"=   "&amp;TEXT(TabCalc[[#This Row],[ReverseB1]],"#,#0"),"")</f>
        <v>263.58x500=   -2,209</v>
      </c>
      <c r="J3" s="295">
        <f ca="1">_xlfn.XLOOKUP(Tab_NewTRADER[[#This Row],[ClickTick]],TabCalc[Ticker],ListGravity)</f>
        <v>1.0314703895939132</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1205986.5</v>
      </c>
      <c r="M3" s="323">
        <f ca="1">_xlfn.XLOOKUP(Tab_NewTRADER[[#This Row],[ClickTick]],TabCalc[Ticker],TabCalc[Agiotage])</f>
        <v>0.75361006056948199</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7.8371962015129581E-2</v>
      </c>
      <c r="S3" s="683">
        <f ca="1">_xlfn.XLOOKUP(Tab_NewTRADER[[#This Row],[ClickTick]],TabCalc[Ticker],TabCalc[Rev(MinStock)])*(1-Commission)</f>
        <v>3885.2719600000005</v>
      </c>
      <c r="T3" s="782">
        <f ca="1">_xlfn.XLOOKUP(Tab_NewTRADER[[#This Row],[ClickTick]],TabCalc[Ticker],TabCalc[Agiotage])</f>
        <v>0.75361006056948199</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-16,844/-16,844=&gt;-0.7% / -0.7%</v>
      </c>
      <c r="V3" s="739" t="str">
        <f ca="1">_xlfn.XLOOKUP(Tab_NewTRADER[[#This Row],[ClickTick]],[1]!RTData[Ticker_Symbol],[1]!RTData[Currency])</f>
        <v>USD</v>
      </c>
      <c r="W3" s="749">
        <f ca="1">_xlfn.XLOOKUP(Tab_NewTRADER[[#This Row],[ClickTick]],TabCalc[Ticker],TabCalc[M])</f>
        <v>267.99700000000001</v>
      </c>
      <c r="X3" s="1343"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^1,133 / 2,546 K$</v>
      </c>
      <c r="AE3" s="1173" t="str" cm="1">
        <f t="array" aca="1" ref="AE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 s="1177" t="str" cm="1">
        <f t="array" aca="1" ref="AF3" ca="1">_xlfn.IFS(       Tab_NewTRADER[[#This Row],[Trap_vs_Last]]=RePurchaseGain,TEXT(Tab_NewTRADER[[#This Row],[L_Sn]],"#,#0")&amp;" x "&amp;TEXT(Tab_NewTRADER[[#This Row],[L_Sp]],"#,#0.#0"),     Tab_NewTRADER[[#This Row],[Trap_vs_Last]]=ReSaleGain,Tab_NewTRADER[[#This Row],[ToSell]],               TRUE,"")</f>
        <v>500 x 270.04</v>
      </c>
      <c r="AG3" s="1177" cm="1">
        <f t="array" aca="1" ref="AG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1018.8441000000031</v>
      </c>
      <c r="AH3" s="1370" t="str">
        <f ca="1">TEXT(MIN(Tab_NewTRADER[[#This Row],[L_Bn]],Tab_NewTRADER[[#This Row],[N]]),"#,#0")&amp;" x "&amp;TEXT(Tab_NewTRADER[[#This Row],[L_Bp]],"#,#0.#0")</f>
        <v>200 x -248.52</v>
      </c>
      <c r="AI3" s="1370">
        <f ca="1">IF(Tab_NewTRADER[[#This Row],[M]]&lt;_xlfn.XLOOKUP(Tab_NewTRADER[[#This Row],[ClickTick]],TabCalc[Ticker],TabCalc[Max_Buy_P]), 0,Tab_NewTRADER[[#This Row],[Sale_Back_$]])</f>
        <v>3885.2719600000005</v>
      </c>
      <c r="AJ3" s="1370" t="str">
        <f ca="1">TEXT(Tab_NewTRADER[[#This Row],[L_Sn]],"#,#0")&amp;" ("&amp;Tab_NewTRADER[[#This Row],[M]]&amp;"/"&amp;TEXT(Tab_NewTRADER[[#This Row],[L_Sp]],"#,#0.#0)")</f>
        <v>500 (267.997/270.04)</v>
      </c>
      <c r="AK3" s="1370">
        <f ca="1">IF(Tab_NewTRADER[[#This Row],[M]]&lt;_xlfn.XLOOKUP(Tab_NewTRADER[[#This Row],[ClickTick]],TabCalc[Ticker],TabCalc[Max_Buy_P]), -Tab_NewTRADER[[#This Row],[Buy_Back]], 0)</f>
        <v>0</v>
      </c>
      <c r="AL3" s="1177" t="str" cm="1">
        <f t="array" aca="1" ref="AL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 s="760">
        <f ca="1">Tab_NewTRADER[[#This Row],[N]]*(Tab_NewTRADER[[#This Row],[M]]-Tab_NewTRADER[[#This Row],[A]])*(1-Commission)*Tab_NewTRADER[[#This Row],[Scale]]</f>
        <v>530411.2258860002</v>
      </c>
      <c r="AN3" s="760">
        <f ca="1">Tab_NewTRADER[[#This Row],[M]]*Tab_NewTRADER[[#This Row],[N]]*(1-Commission)*Tab_NewTRADER[[#This Row],[Scale]]</f>
        <v>2539351.9740999998</v>
      </c>
      <c r="AO3" s="1186" cm="1">
        <f t="array" aca="1" ref="AO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7.5655458450600141E-3</v>
      </c>
      <c r="AP3" s="1186" t="str" cm="1">
        <f t="array" aca="1" ref="AP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 s="825" t="str" cm="1">
        <f t="array" aca="1" ref="AQ3" ca="1">_xlfn.IFS(   Tab_NewTRADER[[#This Row],[Trap_vs_Last]]=SellMorePercentGain,                     MIN(Tab_NewTRADER[[#This Row],[L_Sn]],Tab_NewTRADER[[#This Row],[N]])*(Tab_NewTRADER[[#This Row],[M]]-Tab_NewTRADER[[#This Row],[L_Sp]])*(1-Commission)*Tab_NewTRADER[[#This Row],[Scale]],                    TRUE,"")</f>
        <v/>
      </c>
      <c r="AR3" s="1175">
        <f ca="1">_xlfn.XLOOKUP(Tab_NewTRADER[[#This Row],[ClickTick]],TabCalc[Ticker],TabCalc[Ann%RevLB])</f>
        <v>1.1285562530178659</v>
      </c>
      <c r="AS3" s="1282">
        <f ca="1">_xlfn.XLOOKUP(Tab_NewTRADER[[#This Row],[ClickTick]],TabCalc[Ticker],TabCalc[Up20])</f>
        <v>0</v>
      </c>
      <c r="AT3" s="1187" t="str" cm="1">
        <f t="array" aca="1" ref="AT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 s="825" t="str" cm="1">
        <f t="array" aca="1" ref="AU3" ca="1">_xlfn.IFS(         Tab_NewTRADER[[#This Row],[Trap_vs_Last]]=MDown,Tab_NewTRADER[[#This Row],[L_Bn]]*Tab_NewTRADER[[#This Row],[M]]*(-(Tab_NewTRADER[[#This Row],[L_Bp]]+Tab_NewTRADER[[#This Row],[M]])/Tab_NewTRADER[[#This Row],[M]])*(1-Commission)*Tab_NewTRADER[[#This Row],[Scale]],                               TRUE,"")</f>
        <v/>
      </c>
      <c r="AV3" s="1186" t="str" cm="1">
        <f t="array" aca="1" ref="AV3" ca="1">_xlfn.IFS(   Tab_NewTRADER[[#This Row],[Trap_vs_Last]]=MUp,Tab_NewTRADER[[#This Row],[TakeGain_A]]-Commission,        Tab_NewTRADER[[#This Row],[Trap_vs_Last]]=MDown,(Tab_NewTRADER[[#This Row],[A]]-Tab_NewTRADER[[#This Row],[M]])/Tab_NewTRADER[[#This Row],[M]]-Commission,                              TRUE,"")</f>
        <v/>
      </c>
      <c r="AW3" s="825" cm="1">
        <f t="array" aca="1" ref="AW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530411.2258860002</v>
      </c>
      <c r="AX3" s="760" t="str" cm="1">
        <f t="array" aca="1" ref="AX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3" s="736" t="str" cm="1">
        <f t="array" aca="1" ref="AY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 s="765" cm="1">
        <f t="array" aca="1" ref="AZ3" ca="1">_xlfn.IFS(Tab_NewTRADER[[#This Row],[Trap_vs_Last]]=ReSaleGain,"",         Tab_NewTRADER[[#This Row],[Trap_vs_Last]]=MDown, (Tab_NewTRADER[[#This Row],[M]]-Tab_NewTRADER[[#This Row],[A]])/Tab_NewTRADER[[#This Row],[A]]*ComFactor,             TRUE, IFERROR((Tab_NewTRADER[[#This Row],[M]]-Tab_NewTRADER[[#This Row],[A]])/Tab_NewTRADER[[#This Row],[A]]*ComFactor,""))</f>
        <v>0.26333885514991912</v>
      </c>
      <c r="BA3" s="762" cm="1">
        <f t="array" aca="1" ref="BA3" ca="1">_xlfn.IFS(               Tab_NewTRADER[[#This Row],[Trap_vs_Last]]=NoStock,(Tab_NewTRADER[[#This Row],[L_Sp]]-Tab_NewTRADER[[#This Row],[M]])/Tab_NewTRADER[[#This Row],[M]]-Commission,             Tab_NewTRADER[[#This Row],[A]]&lt;&gt;0,(Tab_NewTRADER[[#This Row],[A]]-Tab_NewTRADER[[#This Row],[M]])/Tab_NewTRADER[[#This Row],[M]]-Commission)</f>
        <v>-0.21147660761324322</v>
      </c>
      <c r="BB3" s="324">
        <f ca="1">_xlfn.XLOOKUP(Tab_NewTRADER[[#This Row],[ClickTick]],TabCalc[Ticker],TabCalc[L_Sn])</f>
        <v>500</v>
      </c>
      <c r="BC3" s="728">
        <f ca="1">_xlfn.XLOOKUP(Tab_NewTRADER[[#This Row],[ClickTick]],TabCalc[Ticker],TabCalc[L_Sp])</f>
        <v>270.04000000000002</v>
      </c>
      <c r="BD3" s="764">
        <f ca="1">-IFERROR((Tab_NewTRADER[[#This Row],[M]]-Tab_NewTRADER[[#This Row],[L_Sp]])/Tab_NewTRADER[[#This Row],[L_Sp]],0)</f>
        <v>7.5655458450600141E-3</v>
      </c>
      <c r="BE3" s="729">
        <f ca="1">MIN(Tab_NewTRADER[[#This Row],[L_Sn]],Tab_NewTRADER[[#This Row],[N]])*(Tab_NewTRADER[[#This Row],[M]]-Tab_NewTRADER[[#This Row],[L_Sp]])*(1-Commission)*Tab_NewTRADER[[#This Row],[Scale]]</f>
        <v>-1018.8441000000031</v>
      </c>
      <c r="BF3" s="692">
        <f ca="1">Tab_NewTRADER[[#This Row],[L_Sn]]*(Tab_NewTRADER[[#This Row],[Agiotage]]-Tab_NewTRADER[[#This Row],[M]])/(Tab_NewTRADER[[#This Row],[L_Bn]]*Tab_NewTRADER[[#This Row],[M]])</f>
        <v>-2.4929699767108446</v>
      </c>
      <c r="BG3" s="635">
        <f ca="1">IFERROR((Tab_NewTRADER[[#This Row],[M]]-Tab_NewTRADER[[#This Row],[A]])/Tab_NewTRADER[[#This Row],[A]],0)</f>
        <v>0.26402532098447878</v>
      </c>
      <c r="BH3" s="638" t="str">
        <f ca="1">TEXT(_xlfn.XLOOKUP(Tab_NewTRADER[[#This Row],[ClickTick]],TabCalc[Ticker],TabCalc[NAfter]),"#,#0")&amp;" : "&amp;TEXT(_xlfn.XLOOKUP(Tab_NewTRADER[[#This Row],[ClickTick]],TabCalc[Ticker],TabCalc[NAfter])*(Tab_NewTRADER[[#This Row],[M]]-Tab_NewTRADER[[#This Row],[A]])*(1-Commission)*Tab_NewTRADER[[#This Row],[Scale]],"#,#0$")</f>
        <v>9,500 : 530,411$</v>
      </c>
      <c r="BI3" s="684">
        <f ca="1">_xlfn.XLOOKUP(Tab_NewTRADER[[#This Row],[ClickTick]],TabCalc[[#This Row],[Ticker]],TabCalc[[#This Row],[GL]])*(1-Commission)</f>
        <v>1130138.3556250001</v>
      </c>
      <c r="BJ3" s="684"/>
      <c r="BK3" s="669" t="str">
        <f ca="1">Tab_NewTRADER[[#This Row],[ClickTick]]&amp;": "&amp;_xlfn.XLOOKUP(Tab_NewTRADER[[#This Row],[ClickTick]],TabCalc[Ticker],TabCalc[Pile?])</f>
        <v xml:space="preserve">AAPL: </v>
      </c>
      <c r="BL3" s="350" t="s">
        <v>2060</v>
      </c>
      <c r="BM3" s="755" t="str" cm="1">
        <f t="array" aca="1" ref="BM3" ca="1">_xlfn.TEXTJOIN("",,INDEX({"M","A","Y"}, _xlfn.SORTBY({1,2,3}, -CHOOSE({1,2,3}, Tab_NewTRADER[[#This Row],[M]], Tab_NewTRADER[[#This Row],[A]], Tab_NewTRADER[[#This Row],[Agiotage]]))))</f>
        <v>MAY</v>
      </c>
      <c r="BN3" s="909" t="str" cm="1">
        <f t="array" aca="1" ref="BN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 s="679">
        <f ca="1">Tab_NewTRADER[[#This Row],[L_Sn]]*Tab_NewTRADER[[#This Row],[L_Sp]]+Tab_NewTRADER[[#This Row],[SellMore]]*Tab_NewTRADER[[#This Row],[M]]</f>
        <v>188619.4</v>
      </c>
      <c r="BP3" s="679">
        <f ca="1">INDEX(
  INDEX(TabConsolid[], , _xlfn.XMATCH(Tab_NewTRADER[[#This Row],[ClickTick]]&amp;1, TabConsolid[#Headers])),
  MATCH(
    -Tab_NewTRADER[[#This Row],[M]],
    INDEX(TabConsolid[], , _xlfn.XMATCH(Tab_NewTRADER[[#This Row],[ClickTick]]&amp;2, TabConsolid[#Headers])),
    -1
  )
)</f>
        <v>200</v>
      </c>
      <c r="BQ3" s="679" cm="1">
        <f t="array" aca="1" ref="BQ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3" s="1156">
        <f ca="1">Tab_NewTRADER[[#This Row],[ReBuy]]/(Tab_NewTRADER[[#This Row],[L_Sn]]+Tab_NewTRADER[[#This Row],[SellMore]])</f>
        <v>269.45628571428568</v>
      </c>
      <c r="BS3" s="687">
        <f ca="1">((_xlfn.XLOOKUP(Tab_NewTRADER[[#This Row],[ClickTick]],TabCalc[Ticker],TabCalc[NAfter])+Tab_NewTRADER[[#This Row],[L_Sn]])*(Tab_NewTRADER[[#This Row],[Agiotage]]-Tab_NewTRADER[[#This Row],[M]]))/(Tab_NewTRADER[[#This Row],[L_Sn]]*_xlfn.XLOOKUP(Tab_NewTRADER[[#This Row],[ClickTick]],TabCalc[Ticker],TabCalc[NAfter]))</f>
        <v>-0.56261766303038008</v>
      </c>
      <c r="BT3" s="687">
        <f ca="1">(Tab_NewTRADER[[#This Row],[M]]-Tab_NewTRADER[[#This Row],[Agiotage]])/(Tab_NewTRADER[[#This Row],[M]]-Tab_NewTRADER[[#This Row],[A]])-1</f>
        <v>3.7740529783533026</v>
      </c>
      <c r="BU3" s="1277">
        <f ca="1">_xlfn.XMATCH(Tab_NewTRADER[[#This Row],[ClickTick]]&amp;1, TabConsolid[#Headers])</f>
        <v>2</v>
      </c>
      <c r="BV3" t="b">
        <f ca="1">IF(ABS(Tab_NewTRADER[[#This Row],[L_Bp]])&gt;=Tab_NewTRADER[[#This Row],[M]],"OK")</f>
        <v>0</v>
      </c>
    </row>
    <row r="4" spans="1:74"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-39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1,776</v>
      </c>
      <c r="F4" s="226" t="str">
        <f ca="1">TRUNC(TabCalc[[#This Row],[L_B1p]],2)&amp;"x"&amp;TabCalc[[#This Row],[L_B1n]]&amp;"=   "&amp;TEXT(TabCalc[[#This Row],[ReverseS1]],"#,#0")&amp;"$"</f>
        <v>-13.02x2800=   2,870$</v>
      </c>
      <c r="G4" s="225" t="str">
        <f ca="1">IFERROR(TRUNC(_xlfn.XLOOKUP(Tab_NewTRADER[[#This Row],[ClickTick]],TabCalc[Ticker],ListLastSalep),2)&amp;"x"&amp;_xlfn.XLOOKUP(Tab_NewTRADER[[#This Row],[ClickTick]],TabCalc[Ticker],ListLastSalen)&amp;"=   "&amp;TEXT(-_xlfn.XLOOKUP(Tab_NewTRADER[[#This Row],[ClickTick]],TabCalc[Ticker],ListReverseB),"#,#0")&amp;"$","")</f>
        <v>16.86x1000=   -2,815$</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20.0% = 1,776</v>
      </c>
      <c r="I4" s="226" t="str">
        <f ca="1">IFERROR(TRUNC(TabCalc[[#This Row],[L_S1p]],2)&amp;"x"&amp;TabCalc[[#This Row],[L_S1n]]&amp;"=   "&amp;TEXT(TabCalc[[#This Row],[ReverseB1]],"#,#0"),"")</f>
        <v>16.67x2990=   7,849</v>
      </c>
      <c r="J4" s="295">
        <f ca="1">_xlfn.XLOOKUP(Tab_NewTRADER[[#This Row],[ClickTick]],TabCalc[Ticker],ListGravity)</f>
        <v>1.4714610181559273</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1.3883562973538</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-1.4385964912280707E-2</v>
      </c>
      <c r="S4" s="683">
        <f ca="1">_xlfn.XLOOKUP(Tab_NewTRADER[[#This Row],[ClickTick]],TabCalc[Ticker],TabCalc[Rev(MinStock)])*(1-Commission)</f>
        <v>-38.848730000000018</v>
      </c>
      <c r="T4" s="782">
        <f ca="1">_xlfn.XLOOKUP(Tab_NewTRADER[[#This Row],[ClickTick]],TabCalc[Ticker],TabCalc[Agiotage])</f>
        <v>1.3883562973538</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1,175/1,175=&gt;0.3% / 0.3%</v>
      </c>
      <c r="V4" s="739" t="str">
        <f ca="1">_xlfn.XLOOKUP(Tab_NewTRADER[[#This Row],[ClickTick]],[1]!RTData[Ticker_Symbol],[1]!RTData[Currency])</f>
        <v>USD</v>
      </c>
      <c r="W4" s="749">
        <f ca="1">_xlfn.XLOOKUP(Tab_NewTRADER[[#This Row],[ClickTick]],TabCalc[Ticker],TabCalc[M])</f>
        <v>14.045</v>
      </c>
      <c r="X4" s="1343"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70 K$</v>
      </c>
      <c r="AE4" s="1173" t="str" cm="1">
        <f t="array" aca="1" ref="AE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 s="1177" t="str" cm="1">
        <f t="array" aca="1" ref="AF4" ca="1">_xlfn.IFS(       Tab_NewTRADER[[#This Row],[Trap_vs_Last]]=RePurchaseGain,TEXT(Tab_NewTRADER[[#This Row],[L_Sn]],"#,#0")&amp;" x "&amp;TEXT(Tab_NewTRADER[[#This Row],[L_Sp]],"#,#0.#0"),     Tab_NewTRADER[[#This Row],[Trap_vs_Last]]=ReSaleGain,Tab_NewTRADER[[#This Row],[ToSell]],               TRUE,"")</f>
        <v>1,000 x 16.86</v>
      </c>
      <c r="AG4" s="1177" cm="1">
        <f t="array" aca="1" ref="AG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2807.6809999999996</v>
      </c>
      <c r="AH4" s="1370" t="str">
        <f ca="1">TEXT(MIN(Tab_NewTRADER[[#This Row],[L_Bn]],Tab_NewTRADER[[#This Row],[N]]),"#,#0")&amp;" x "&amp;TEXT(Tab_NewTRADER[[#This Row],[L_Bp]],"#,#0.#0")</f>
        <v>190 x -14.25</v>
      </c>
      <c r="AI4" s="1370">
        <f ca="1">IF(Tab_NewTRADER[[#This Row],[M]]&lt;_xlfn.XLOOKUP(Tab_NewTRADER[[#This Row],[ClickTick]],TabCalc[Ticker],TabCalc[Max_Buy_P]), 0,Tab_NewTRADER[[#This Row],[Sale_Back_$]])</f>
        <v>0</v>
      </c>
      <c r="AJ4" s="1370" t="str">
        <f ca="1">TEXT(Tab_NewTRADER[[#This Row],[L_Sn]],"#,#0")&amp;" ("&amp;Tab_NewTRADER[[#This Row],[M]]&amp;"/"&amp;TEXT(Tab_NewTRADER[[#This Row],[L_Sp]],"#,#0.#0)")</f>
        <v>1,000 (14.045/16.86)</v>
      </c>
      <c r="AK4" s="1370">
        <f ca="1">IF(Tab_NewTRADER[[#This Row],[M]]&lt;_xlfn.XLOOKUP(Tab_NewTRADER[[#This Row],[ClickTick]],TabCalc[Ticker],TabCalc[Max_Buy_P]), -Tab_NewTRADER[[#This Row],[Buy_Back]], 0)</f>
        <v>2807.6809999999996</v>
      </c>
      <c r="AL4" s="1177" t="str" cm="1">
        <f t="array" aca="1" ref="AL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 s="1177">
        <f ca="1">Tab_NewTRADER[[#This Row],[N]]*(Tab_NewTRADER[[#This Row],[M]]-Tab_NewTRADER[[#This Row],[A]])*(1-Commission)*Tab_NewTRADER[[#This Row],[Scale]]</f>
        <v>4838.4871400000056</v>
      </c>
      <c r="AN4" s="1177">
        <f ca="1">Tab_NewTRADER[[#This Row],[M]]*Tab_NewTRADER[[#This Row],[N]]*(1-Commission)*Tab_NewTRADER[[#This Row],[Scale]]</f>
        <v>70042.414999999994</v>
      </c>
      <c r="AO4" s="1186" cm="1">
        <f t="array" aca="1" ref="AO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0.16696322657176749</v>
      </c>
      <c r="AP4" s="1186" t="str" cm="1">
        <f t="array" aca="1" ref="AP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Tab_NewTRADER[[#This Row],[Trap_vs_Last]]=SellMorePercentGain,                     MIN(Tab_NewTRADER[[#This Row],[L_Sn]],Tab_NewTRADER[[#This Row],[N]])*(Tab_NewTRADER[[#This Row],[M]]-Tab_NewTRADER[[#This Row],[L_Sp]])*(1-Commission)*Tab_NewTRADER[[#This Row],[Scale]],                    TRUE,"")</f>
        <v/>
      </c>
      <c r="AR4" s="1175">
        <f ca="1">_xlfn.XLOOKUP(Tab_NewTRADER[[#This Row],[ClickTick]],TabCalc[Ticker],TabCalc[Ann%RevLB])</f>
        <v>-4.5831392640894281E-2</v>
      </c>
      <c r="AS4" s="1282">
        <f ca="1">_xlfn.XLOOKUP(Tab_NewTRADER[[#This Row],[ClickTick]],TabCalc[Ticker],TabCalc[Up20])</f>
        <v>0</v>
      </c>
      <c r="AT4" s="1187" t="str" cm="1">
        <f t="array" aca="1" ref="AT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 s="825" t="str" cm="1">
        <f t="array" aca="1" ref="AU4" ca="1">_xlfn.IFS(         Tab_NewTRADER[[#This Row],[Trap_vs_Last]]=MDown,Tab_NewTRADER[[#This Row],[L_Bn]]*Tab_NewTRADER[[#This Row],[M]]*(-(Tab_NewTRADER[[#This Row],[L_Bp]]+Tab_NewTRADER[[#This Row],[M]])/Tab_NewTRADER[[#This Row],[M]])*(1-Commission)*Tab_NewTRADER[[#This Row],[Scale]],                               TRUE,"")</f>
        <v/>
      </c>
      <c r="AV4" s="1186" t="str" cm="1">
        <f t="array" aca="1" ref="AV4" ca="1">_xlfn.IFS(   Tab_NewTRADER[[#This Row],[Trap_vs_Last]]=MUp,Tab_NewTRADER[[#This Row],[TakeGain_A]]-Commission,        Tab_NewTRADER[[#This Row],[Trap_vs_Last]]=MDown,(Tab_NewTRADER[[#This Row],[A]]-Tab_NewTRADER[[#This Row],[M]])/Tab_NewTRADER[[#This Row],[M]]-Commission,                              TRUE,"")</f>
        <v/>
      </c>
      <c r="AW4" s="825" cm="1">
        <f t="array" aca="1" ref="AW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4838.4871400000056</v>
      </c>
      <c r="AX4" s="760" t="str" cm="1">
        <f t="array" aca="1" ref="AX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4" s="736" t="str" cm="1">
        <f t="array" aca="1" ref="AY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 s="765" cm="1">
        <f t="array" aca="1" ref="AZ4" ca="1">_xlfn.IFS(Tab_NewTRADER[[#This Row],[Trap_vs_Last]]=ReSaleGain,"",         Tab_NewTRADER[[#This Row],[Trap_vs_Last]]=MDown, (Tab_NewTRADER[[#This Row],[M]]-Tab_NewTRADER[[#This Row],[A]])/Tab_NewTRADER[[#This Row],[A]]*ComFactor,             TRUE, IFERROR((Tab_NewTRADER[[#This Row],[M]]-Tab_NewTRADER[[#This Row],[A]])/Tab_NewTRADER[[#This Row],[A]]*ComFactor,""))</f>
        <v>7.4012520899013307E-2</v>
      </c>
      <c r="BA4" s="762" cm="1">
        <f t="array" aca="1" ref="BA4" ca="1">_xlfn.IFS(               Tab_NewTRADER[[#This Row],[Trap_vs_Last]]=NoStock,(Tab_NewTRADER[[#This Row],[L_Sp]]-Tab_NewTRADER[[#This Row],[M]])/Tab_NewTRADER[[#This Row],[M]]-Commission,             Tab_NewTRADER[[#This Row],[A]]&lt;&gt;0,(Tab_NewTRADER[[#This Row],[A]]-Tab_NewTRADER[[#This Row],[M]])/Tab_NewTRADER[[#This Row],[M]]-Commission)</f>
        <v>-7.1679387682449358E-2</v>
      </c>
      <c r="BB4" s="324">
        <f ca="1">_xlfn.XLOOKUP(Tab_NewTRADER[[#This Row],[ClickTick]],TabCalc[Ticker],TabCalc[L_Sn])</f>
        <v>1000</v>
      </c>
      <c r="BC4" s="728">
        <f ca="1">_xlfn.XLOOKUP(Tab_NewTRADER[[#This Row],[ClickTick]],TabCalc[Ticker],TabCalc[L_Sp])</f>
        <v>16.86</v>
      </c>
      <c r="BD4" s="764">
        <f ca="1">-IFERROR((Tab_NewTRADER[[#This Row],[M]]-Tab_NewTRADER[[#This Row],[L_Sp]])/Tab_NewTRADER[[#This Row],[L_Sp]],0)</f>
        <v>0.16696322657176749</v>
      </c>
      <c r="BE4" s="729">
        <f ca="1">MIN(Tab_NewTRADER[[#This Row],[L_Sn]],Tab_NewTRADER[[#This Row],[N]])*(Tab_NewTRADER[[#This Row],[M]]-Tab_NewTRADER[[#This Row],[L_Sp]])*(1-Commission)*Tab_NewTRADER[[#This Row],[Scale]]</f>
        <v>-2807.6809999999996</v>
      </c>
      <c r="BF4" s="692">
        <f ca="1">Tab_NewTRADER[[#This Row],[L_Sn]]*(Tab_NewTRADER[[#This Row],[Agiotage]]-Tab_NewTRADER[[#This Row],[M]])/(Tab_NewTRADER[[#This Row],[L_Bn]]*Tab_NewTRADER[[#This Row],[M]])</f>
        <v>-4.7428917212142165</v>
      </c>
      <c r="BG4" s="635">
        <f ca="1">IFERROR((Tab_NewTRADER[[#This Row],[M]]-Tab_NewTRADER[[#This Row],[A]])/Tab_NewTRADER[[#This Row],[A]],0)</f>
        <v>7.4205455082227104E-2</v>
      </c>
      <c r="BH4" s="638" t="str">
        <f ca="1">TEXT(_xlfn.XLOOKUP(Tab_NewTRADER[[#This Row],[ClickTick]],TabCalc[Ticker],TabCalc[NAfter]),"#,#0")&amp;" : "&amp;TEXT(_xlfn.XLOOKUP(Tab_NewTRADER[[#This Row],[ClickTick]],TabCalc[Ticker],TabCalc[NAfter])*(Tab_NewTRADER[[#This Row],[M]]-Tab_NewTRADER[[#This Row],[A]])*(1-Commission)*Tab_NewTRADER[[#This Row],[Scale]],"#,#0$")</f>
        <v>5,000 : 4,838$</v>
      </c>
      <c r="BI4" s="684">
        <f ca="1">_xlfn.XLOOKUP(Tab_NewTRADER[[#This Row],[ClickTick]],TabCalc[[#This Row],[Ticker]],TabCalc[[#This Row],[GL]])*(1-Commission)</f>
        <v>40535.428135046808</v>
      </c>
      <c r="BJ4" s="684"/>
      <c r="BK4" s="669" t="str">
        <f ca="1">Tab_NewTRADER[[#This Row],[ClickTick]]&amp;": "&amp;_xlfn.XLOOKUP(Tab_NewTRADER[[#This Row],[ClickTick]],TabCalc[Ticker],TabCalc[Pile?])</f>
        <v xml:space="preserve">ADEA: </v>
      </c>
      <c r="BL4" s="351" t="s">
        <v>2039</v>
      </c>
      <c r="BM4" s="755" t="str" cm="1">
        <f t="array" aca="1" ref="BM4" ca="1">_xlfn.TEXTJOIN("",,INDEX({"M","A","Y"}, _xlfn.SORTBY({1,2,3}, -CHOOSE({1,2,3}, Tab_NewTRADER[[#This Row],[M]], Tab_NewTRADER[[#This Row],[A]], Tab_NewTRADER[[#This Row],[Agiotage]]))))</f>
        <v>MAY</v>
      </c>
      <c r="BN4" s="909" t="str" cm="1">
        <f t="array" aca="1" ref="BN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 s="679">
        <f ca="1">Tab_NewTRADER[[#This Row],[L_Sn]]*Tab_NewTRADER[[#This Row],[L_Sp]]+Tab_NewTRADER[[#This Row],[SellMore]]*Tab_NewTRADER[[#This Row],[M]]</f>
        <v>45090.45</v>
      </c>
      <c r="BP4" s="679">
        <f ca="1">INDEX(
  INDEX(TabConsolid[], , _xlfn.XMATCH(Tab_NewTRADER[[#This Row],[ClickTick]]&amp;1, TabConsolid[#Headers])),
  MATCH(
    -Tab_NewTRADER[[#This Row],[M]],
    INDEX(TabConsolid[], , _xlfn.XMATCH(Tab_NewTRADER[[#This Row],[ClickTick]]&amp;2, TabConsolid[#Headers])),
    -1
  )
)</f>
        <v>2010</v>
      </c>
      <c r="BQ4" s="679" cm="1">
        <f t="array" aca="1" ref="BQ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190</v>
      </c>
      <c r="BR4" s="1156">
        <f ca="1">Tab_NewTRADER[[#This Row],[ReBuy]]/(Tab_NewTRADER[[#This Row],[L_Sn]]+Tab_NewTRADER[[#This Row],[SellMore]])</f>
        <v>14.980215946843852</v>
      </c>
      <c r="BS4" s="687">
        <f ca="1">((_xlfn.XLOOKUP(Tab_NewTRADER[[#This Row],[ClickTick]],TabCalc[Ticker],TabCalc[NAfter])+Tab_NewTRADER[[#This Row],[L_Sn]])*(Tab_NewTRADER[[#This Row],[Agiotage]]-Tab_NewTRADER[[#This Row],[M]]))/(Tab_NewTRADER[[#This Row],[L_Sn]]*_xlfn.XLOOKUP(Tab_NewTRADER[[#This Row],[ClickTick]],TabCalc[Ticker],TabCalc[NAfter]))</f>
        <v>-1.5187972443175442E-2</v>
      </c>
      <c r="BT4" s="687">
        <f ca="1">(Tab_NewTRADER[[#This Row],[M]]-Tab_NewTRADER[[#This Row],[Agiotage]])/(Tab_NewTRADER[[#This Row],[M]]-Tab_NewTRADER[[#This Row],[A]])-1</f>
        <v>12.045127602653196</v>
      </c>
      <c r="BU4" s="1277">
        <f ca="1">_xlfn.XMATCH(Tab_NewTRADER[[#This Row],[ClickTick]]&amp;1, TabConsolid[#Headers])</f>
        <v>5</v>
      </c>
      <c r="BV4" t="str">
        <f ca="1">IF(ABS(Tab_NewTRADER[[#This Row],[L_Bp]])&gt;=Tab_NewTRADER[[#This Row],[M]],"OK")</f>
        <v>OK</v>
      </c>
    </row>
    <row r="5" spans="1:74"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-90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-110$</v>
      </c>
      <c r="G5" s="225" t="str">
        <f ca="1">IFERROR(TRUNC(_xlfn.XLOOKUP(Tab_NewTRADER[[#This Row],[ClickTick]],TabCalc[Ticker],ListLastSalep),2)&amp;"x"&amp;_xlfn.XLOOKUP(Tab_NewTRADER[[#This Row],[ClickTick]],TabCalc[Ticker],ListLastSalen)&amp;"=   "&amp;TEXT(-_xlfn.XLOOKUP(Tab_NewTRADER[[#This Row],[ClickTick]],TabCalc[Ticker],ListReverseB),"#,#0")&amp;"$","")</f>
        <v>52.01x20000=   -1,462$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16.4% = 684</v>
      </c>
      <c r="I5" s="226" t="str">
        <f ca="1">IFERROR(TRUNC(TabCalc[[#This Row],[L_S1p]],2)&amp;"x"&amp;TabCalc[[#This Row],[L_S1n]]&amp;"=   "&amp;TEXT(TabCalc[[#This Row],[ReverseB1]],"#,#0"),"")</f>
        <v>53.62x90000=   8,028</v>
      </c>
      <c r="J5" s="295">
        <f ca="1">_xlfn.XLOOKUP(Tab_NewTRADER[[#This Row],[ClickTick]],TabCalc[Ticker],ListGravity)</f>
        <v>2.1624161073825503</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187740</v>
      </c>
      <c r="M5" s="323">
        <f ca="1">_xlfn.XLOOKUP(Tab_NewTRADER[[#This Row],[ClickTick]],TabCalc[Ticker],TabCalc[Agiotage])</f>
        <v>0.22856548590445105</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-1.9736842105263126E-2</v>
      </c>
      <c r="S5" s="683">
        <f ca="1">_xlfn.XLOOKUP(Tab_NewTRADER[[#This Row],[ClickTick]],TabCalc[Ticker],TabCalc[Rev(MinStock)])*(1-Commission)</f>
        <v>-89.765999999999849</v>
      </c>
      <c r="T5" s="782">
        <f ca="1">_xlfn.XLOOKUP(Tab_NewTRADER[[#This Row],[ClickTick]],TabCalc[Ticker],TabCalc[Agiotage])</f>
        <v>0.22856548590445105</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0/0=&gt;0.7% / 0.7%</v>
      </c>
      <c r="V5" s="739" t="str">
        <f ca="1">_xlfn.XLOOKUP(Tab_NewTRADER[[#This Row],[ClickTick]],[1]!RTData[Ticker_Symbol],[1]!RTData[Currency])</f>
        <v>GBp</v>
      </c>
      <c r="W5" s="749">
        <f ca="1">_xlfn.XLOOKUP(Tab_NewTRADER[[#This Row],[ClickTick]],TabCalc[Ticker],TabCalc[M])</f>
        <v>44.7</v>
      </c>
      <c r="X5" s="1343"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^24 / 367 K$</v>
      </c>
      <c r="AE5" s="1195" t="str" cm="1">
        <f t="array" aca="1" ref="AE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 s="1177" t="str" cm="1">
        <f t="array" aca="1" ref="AF5" ca="1">_xlfn.IFS(       Tab_NewTRADER[[#This Row],[Trap_vs_Last]]=RePurchaseGain,TEXT(Tab_NewTRADER[[#This Row],[L_Sn]],"#,#0")&amp;" x "&amp;TEXT(Tab_NewTRADER[[#This Row],[L_Sp]],"#,#0.#0"),     Tab_NewTRADER[[#This Row],[Trap_vs_Last]]=ReSaleGain,Tab_NewTRADER[[#This Row],[ToSell]],               TRUE,"")</f>
        <v/>
      </c>
      <c r="AG5" s="1177" t="str" cm="1">
        <f t="array" aca="1" ref="AG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-45.60</v>
      </c>
      <c r="AH5" s="1370" t="str">
        <f ca="1">TEXT(MIN(Tab_NewTRADER[[#This Row],[L_Bn]],Tab_NewTRADER[[#This Row],[N]]),"#,#0")&amp;" x "&amp;TEXT(Tab_NewTRADER[[#This Row],[L_Bp]],"#,#0.#0")</f>
        <v>10,000 x -45.60</v>
      </c>
      <c r="AI5" s="1370">
        <f ca="1">IF(Tab_NewTRADER[[#This Row],[M]]&lt;_xlfn.XLOOKUP(Tab_NewTRADER[[#This Row],[ClickTick]],TabCalc[Ticker],TabCalc[Max_Buy_P]), 0,Tab_NewTRADER[[#This Row],[Sale_Back_$]])</f>
        <v>0</v>
      </c>
      <c r="AJ5" s="1370" t="str">
        <f ca="1">TEXT(Tab_NewTRADER[[#This Row],[L_Sn]],"#,#0")&amp;" ("&amp;Tab_NewTRADER[[#This Row],[M]]&amp;"/"&amp;TEXT(Tab_NewTRADER[[#This Row],[L_Sp]],"#,#0.#0)")</f>
        <v>20,000 (44.7/52.01)</v>
      </c>
      <c r="AK5" s="1370">
        <f ca="1">IF(Tab_NewTRADER[[#This Row],[M]]&lt;_xlfn.XLOOKUP(Tab_NewTRADER[[#This Row],[ClickTick]],TabCalc[Ticker],TabCalc[Max_Buy_P]), -Tab_NewTRADER[[#This Row],[Buy_Back]], 0)</f>
        <v>1458.1987999999992</v>
      </c>
      <c r="AL5" s="1177" cm="1">
        <f t="array" aca="1" ref="AL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89.765999999999863</v>
      </c>
      <c r="AM5" s="760">
        <f ca="1">Tab_NewTRADER[[#This Row],[N]]*(Tab_NewTRADER[[#This Row],[M]]-Tab_NewTRADER[[#This Row],[A]])*(1-Commission)*Tab_NewTRADER[[#This Row],[Scale]]</f>
        <v>-37106.899372101791</v>
      </c>
      <c r="AN5" s="760">
        <f ca="1">Tab_NewTRADER[[#This Row],[M]]*Tab_NewTRADER[[#This Row],[N]]*(1-Commission)*Tab_NewTRADER[[#This Row],[Scale]]</f>
        <v>365586.99600000004</v>
      </c>
      <c r="AO5" s="1186" cm="1">
        <f t="array" aca="1" ref="AO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9.2146664745970011E-2</v>
      </c>
      <c r="AP5" s="1186" cm="1">
        <f t="array" aca="1" ref="AP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1.7534228187919429E-2</v>
      </c>
      <c r="AQ5" s="825" t="str" cm="1">
        <f t="array" aca="1" ref="AQ5" ca="1">_xlfn.IFS(   Tab_NewTRADER[[#This Row],[Trap_vs_Last]]=SellMorePercentGain,                     MIN(Tab_NewTRADER[[#This Row],[L_Sn]],Tab_NewTRADER[[#This Row],[N]])*(Tab_NewTRADER[[#This Row],[M]]-Tab_NewTRADER[[#This Row],[L_Sp]])*(1-Commission)*Tab_NewTRADER[[#This Row],[Scale]],                    TRUE,"")</f>
        <v/>
      </c>
      <c r="AR5" s="1192">
        <f ca="1">_xlfn.XLOOKUP(Tab_NewTRADER[[#This Row],[ClickTick]],TabCalc[Ticker],TabCalc[Ann%RevLB])</f>
        <v>-0.26315789473684165</v>
      </c>
      <c r="AS5" s="1281">
        <f ca="1">_xlfn.XLOOKUP(Tab_NewTRADER[[#This Row],[ClickTick]],TabCalc[Ticker],TabCalc[Up20])</f>
        <v>0</v>
      </c>
      <c r="AT5" s="1187" cm="1">
        <f t="array" aca="1" ref="AT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2.0134228187919431E-2</v>
      </c>
      <c r="AU5" s="825" cm="1">
        <f t="array" aca="1" ref="AU5" ca="1">_xlfn.IFS(         Tab_NewTRADER[[#This Row],[Trap_vs_Last]]=MDown,Tab_NewTRADER[[#This Row],[L_Bn]]*Tab_NewTRADER[[#This Row],[M]]*(-(Tab_NewTRADER[[#This Row],[L_Bp]]+Tab_NewTRADER[[#This Row],[M]])/Tab_NewTRADER[[#This Row],[M]])*(1-Commission)*Tab_NewTRADER[[#This Row],[Scale]],                               TRUE,"")</f>
        <v>89.765999999999863</v>
      </c>
      <c r="AV5" s="1186" cm="1">
        <f t="array" aca="1" ref="AV5" ca="1">_xlfn.IFS(   Tab_NewTRADER[[#This Row],[Trap_vs_Last]]=MUp,Tab_NewTRADER[[#This Row],[TakeGain_A]]-Commission,        Tab_NewTRADER[[#This Row],[Trap_vs_Last]]=MDown,(Tab_NewTRADER[[#This Row],[A]]-Tab_NewTRADER[[#This Row],[M]])/Tab_NewTRADER[[#This Row],[M]]-Commission,                              TRUE,"")</f>
        <v>9.8899505666502935E-2</v>
      </c>
      <c r="AW5" s="760" cm="1">
        <f t="array" aca="1" ref="AW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37106.899372101791</v>
      </c>
      <c r="AX5" s="760" t="str" cm="1">
        <f t="array" aca="1" ref="AX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Y5" s="736" cm="1">
        <f t="array" aca="1" ref="AY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-8.8999999999999999E-3</v>
      </c>
      <c r="AZ5" s="765" cm="1">
        <f t="array" aca="1" ref="AZ5" ca="1">_xlfn.IFS(Tab_NewTRADER[[#This Row],[Trap_vs_Last]]=ReSaleGain,"",         Tab_NewTRADER[[#This Row],[Trap_vs_Last]]=MDown, (Tab_NewTRADER[[#This Row],[M]]-Tab_NewTRADER[[#This Row],[A]])/Tab_NewTRADER[[#This Row],[A]]*ComFactor,             TRUE, IFERROR((Tab_NewTRADER[[#This Row],[M]]-Tab_NewTRADER[[#This Row],[A]])/Tab_NewTRADER[[#This Row],[A]]*ComFactor,""))</f>
        <v>-9.1907083417630486E-2</v>
      </c>
      <c r="BA5" s="762" cm="1">
        <f t="array" aca="1" ref="BA5" ca="1">_xlfn.IFS(               Tab_NewTRADER[[#This Row],[Trap_vs_Last]]=NoStock,(Tab_NewTRADER[[#This Row],[L_Sp]]-Tab_NewTRADER[[#This Row],[M]])/Tab_NewTRADER[[#This Row],[M]]-Commission,             Tab_NewTRADER[[#This Row],[A]]&lt;&gt;0,(Tab_NewTRADER[[#This Row],[A]]-Tab_NewTRADER[[#This Row],[M]])/Tab_NewTRADER[[#This Row],[M]]-Commission)</f>
        <v>9.8899505666502935E-2</v>
      </c>
      <c r="BB5" s="324">
        <f ca="1">_xlfn.XLOOKUP(Tab_NewTRADER[[#This Row],[ClickTick]],TabCalc[Ticker],TabCalc[L_Sn])</f>
        <v>20000</v>
      </c>
      <c r="BC5" s="728">
        <f ca="1">_xlfn.XLOOKUP(Tab_NewTRADER[[#This Row],[ClickTick]],TabCalc[Ticker],TabCalc[L_Sp])</f>
        <v>52.01</v>
      </c>
      <c r="BD5" s="764">
        <f ca="1">-IFERROR((Tab_NewTRADER[[#This Row],[M]]-Tab_NewTRADER[[#This Row],[L_Sp]])/Tab_NewTRADER[[#This Row],[L_Sp]],0)</f>
        <v>0.14054989425110548</v>
      </c>
      <c r="BE5" s="729">
        <f ca="1">MIN(Tab_NewTRADER[[#This Row],[L_Sn]],Tab_NewTRADER[[#This Row],[N]])*(Tab_NewTRADER[[#This Row],[M]]-Tab_NewTRADER[[#This Row],[L_Sp]])*(1-Commission)*Tab_NewTRADER[[#This Row],[Scale]]</f>
        <v>-1458.1987999999992</v>
      </c>
      <c r="BF5" s="692">
        <f ca="1">Tab_NewTRADER[[#This Row],[L_Sn]]*(Tab_NewTRADER[[#This Row],[Agiotage]]-Tab_NewTRADER[[#This Row],[M]])/(Tab_NewTRADER[[#This Row],[L_Bn]]*Tab_NewTRADER[[#This Row],[M]])</f>
        <v>-1.9897733563353712</v>
      </c>
      <c r="BG5" s="635">
        <f ca="1">IFERROR((Tab_NewTRADER[[#This Row],[M]]-Tab_NewTRADER[[#This Row],[A]])/Tab_NewTRADER[[#This Row],[A]],0)</f>
        <v>-9.2146664745970011E-2</v>
      </c>
      <c r="BH5" s="638" t="str">
        <f ca="1">TEXT(_xlfn.XLOOKUP(Tab_NewTRADER[[#This Row],[ClickTick]],TabCalc[Ticker],TabCalc[NAfter]),"#,#0")&amp;" : "&amp;TEXT(_xlfn.XLOOKUP(Tab_NewTRADER[[#This Row],[ClickTick]],TabCalc[Ticker],TabCalc[NAfter])*(Tab_NewTRADER[[#This Row],[M]]-Tab_NewTRADER[[#This Row],[A]])*(1-Commission)*Tab_NewTRADER[[#This Row],[Scale]],"#,#0$")</f>
        <v>820,000 : -37,107$</v>
      </c>
      <c r="BI5" s="684">
        <f ca="1">_xlfn.XLOOKUP(Tab_NewTRADER[[#This Row],[ClickTick]],TabCalc[[#This Row],[Ticker]],TabCalc[[#This Row],[GL]])*(1-Commission)</f>
        <v>23717.13888609819</v>
      </c>
      <c r="BJ5" s="684"/>
      <c r="BK5" s="669" t="str">
        <f ca="1">Tab_NewTRADER[[#This Row],[ClickTick]]&amp;": "&amp;_xlfn.XLOOKUP(Tab_NewTRADER[[#This Row],[ClickTick]],TabCalc[Ticker],TabCalc[Pile?])</f>
        <v xml:space="preserve">AET: </v>
      </c>
      <c r="BL5" s="351" t="s">
        <v>2058</v>
      </c>
      <c r="BM5" s="755" t="str" cm="1">
        <f t="array" aca="1" ref="BM5" ca="1">_xlfn.TEXTJOIN("",,INDEX({"M","A","Y"}, _xlfn.SORTBY({1,2,3}, -CHOOSE({1,2,3}, Tab_NewTRADER[[#This Row],[M]], Tab_NewTRADER[[#This Row],[A]], Tab_NewTRADER[[#This Row],[Agiotage]]))))</f>
        <v>AMY</v>
      </c>
      <c r="BN5" s="909" cm="1">
        <f t="array" aca="1" ref="BN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2.0134228187919431E-2</v>
      </c>
      <c r="BO5" s="679" t="e">
        <f ca="1">Tab_NewTRADER[[#This Row],[L_Sn]]*Tab_NewTRADER[[#This Row],[L_Sp]]+Tab_NewTRADER[[#This Row],[SellMore]]*Tab_NewTRADER[[#This Row],[M]]</f>
        <v>#N/A</v>
      </c>
      <c r="BP5" s="679" t="e">
        <f ca="1">INDEX(
  INDEX(TabConsolid[], , _xlfn.XMATCH(Tab_NewTRADER[[#This Row],[ClickTick]]&amp;1, TabConsolid[#Headers])),
  MATCH(
    -Tab_NewTRADER[[#This Row],[M]],
    INDEX(TabConsolid[], , _xlfn.XMATCH(Tab_NewTRADER[[#This Row],[ClickTick]]&amp;2, TabConsolid[#Headers])),
    -1
  )
)</f>
        <v>#N/A</v>
      </c>
      <c r="BQ5" s="679" cm="1">
        <f t="array" aca="1" ref="BQ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5" s="1156" t="e">
        <f ca="1">Tab_NewTRADER[[#This Row],[ReBuy]]/(Tab_NewTRADER[[#This Row],[L_Sn]]+Tab_NewTRADER[[#This Row],[SellMore]])</f>
        <v>#N/A</v>
      </c>
      <c r="BS5" s="687">
        <f ca="1">((_xlfn.XLOOKUP(Tab_NewTRADER[[#This Row],[ClickTick]],TabCalc[Ticker],TabCalc[NAfter])+Tab_NewTRADER[[#This Row],[L_Sn]])*(Tab_NewTRADER[[#This Row],[Agiotage]]-Tab_NewTRADER[[#This Row],[M]]))/(Tab_NewTRADER[[#This Row],[L_Sn]]*_xlfn.XLOOKUP(Tab_NewTRADER[[#This Row],[ClickTick]],TabCalc[Ticker],TabCalc[NAfter]))</f>
        <v>-2.2778051824292839E-3</v>
      </c>
      <c r="BT5" s="687">
        <f ca="1">(Tab_NewTRADER[[#This Row],[M]]-Tab_NewTRADER[[#This Row],[Agiotage]])/(Tab_NewTRADER[[#This Row],[M]]-Tab_NewTRADER[[#This Row],[A]])-1</f>
        <v>-10.801886931711628</v>
      </c>
      <c r="BU5" s="1277">
        <f ca="1">_xlfn.XMATCH(Tab_NewTRADER[[#This Row],[ClickTick]]&amp;1, TabConsolid[#Headers])</f>
        <v>8</v>
      </c>
      <c r="BV5" t="str">
        <f ca="1">IF(ABS(Tab_NewTRADER[[#This Row],[L_Bp]])&gt;=Tab_NewTRADER[[#This Row],[M]],"OK")</f>
        <v>OK</v>
      </c>
    </row>
    <row r="6" spans="1:74"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+59,080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12.1%</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169/12,000=41,395</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15,790$</v>
      </c>
      <c r="G6" s="225" t="str">
        <f ca="1">IFERROR(TRUNC(_xlfn.XLOOKUP(Tab_NewTRADER[[#This Row],[ClickTick]],TabCalc[Ticker],ListLastSalep),2)&amp;"x"&amp;_xlfn.XLOOKUP(Tab_NewTRADER[[#This Row],[ClickTick]],TabCalc[Ticker],ListLastSalen)&amp;"=   "&amp;TEXT(-_xlfn.XLOOKUP(Tab_NewTRADER[[#This Row],[ClickTick]],TabCalc[Ticker],ListReverseB),"#,#0")&amp;"$","")</f>
        <v>221.51x200=   4,609$</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-9.4% = 0</v>
      </c>
      <c r="I6" s="226" t="str">
        <f ca="1">IFERROR(TRUNC(TabCalc[[#This Row],[L_S1p]],2)&amp;"x"&amp;TabCalc[[#This Row],[L_S1n]]&amp;"=   "&amp;TEXT(TabCalc[[#This Row],[ReverseB1]],"#,#0"),"")</f>
        <v>234.24x500=   -5,160</v>
      </c>
      <c r="J6" s="295">
        <f ca="1">_xlfn.XLOOKUP(Tab_NewTRADER[[#This Row],[ClickTick]],TabCalc[Ticker],ListGravity)</f>
        <v>1.1793592574419365</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978240</v>
      </c>
      <c r="M6" s="323">
        <f ca="1">_xlfn.XLOOKUP(Tab_NewTRADER[[#This Row],[ClickTick]],TabCalc[Ticker],TabCalc[Agiotage])</f>
        <v>0.6942070189669548</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0.1373825690633429</v>
      </c>
      <c r="S6" s="683">
        <f ca="1">_xlfn.XLOOKUP(Tab_NewTRADER[[#This Row],[ClickTick]],TabCalc[Ticker],TabCalc[Rev(MinStock)])*(1-Commission)</f>
        <v>58926.391999999985</v>
      </c>
      <c r="T6" s="782">
        <f ca="1">_xlfn.XLOOKUP(Tab_NewTRADER[[#This Row],[ClickTick]],TabCalc[Ticker],TabCalc[Agiotage])</f>
        <v>0.6942070189669548</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18,720/18,720=&gt;0.6% / 0.6%</v>
      </c>
      <c r="V6" s="739" t="str">
        <f ca="1">_xlfn.XLOOKUP(Tab_NewTRADER[[#This Row],[ClickTick]],[1]!RTData[Ticker_Symbol],[1]!RTData[Currency])</f>
        <v>USD</v>
      </c>
      <c r="W6" s="708">
        <f ca="1">_xlfn.XLOOKUP(Tab_NewTRADER[[#This Row],[ClickTick]],TabCalc[Ticker],TabCalc[M])</f>
        <v>244.56</v>
      </c>
      <c r="X6" s="1343"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^972 / 2,935 K$</v>
      </c>
      <c r="AE6" s="1195" t="str" cm="1">
        <f t="array" aca="1" ref="AE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 s="1177" t="str" cm="1">
        <f t="array" aca="1" ref="AF6" ca="1">_xlfn.IFS(       Tab_NewTRADER[[#This Row],[Trap_vs_Last]]=RePurchaseGain,TEXT(Tab_NewTRADER[[#This Row],[L_Sn]],"#,#0")&amp;" x "&amp;TEXT(Tab_NewTRADER[[#This Row],[L_Sp]],"#,#0.#0"),     Tab_NewTRADER[[#This Row],[Trap_vs_Last]]=ReSaleGain,Tab_NewTRADER[[#This Row],[ToSell]],               TRUE,"")</f>
        <v/>
      </c>
      <c r="AG6" s="1177" t="str" cm="1">
        <f t="array" aca="1" ref="AG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H6" s="1370" t="str">
        <f ca="1">TEXT(MIN(Tab_NewTRADER[[#This Row],[L_Bn]],Tab_NewTRADER[[#This Row],[N]]),"#,#0")&amp;" x "&amp;TEXT(Tab_NewTRADER[[#This Row],[L_Bp]],"#,#0.#0")</f>
        <v>2,000 x -215.02</v>
      </c>
      <c r="AI6" s="1370">
        <f ca="1">IF(Tab_NewTRADER[[#This Row],[M]]&lt;_xlfn.XLOOKUP(Tab_NewTRADER[[#This Row],[ClickTick]],TabCalc[Ticker],TabCalc[Max_Buy_P]), 0,Tab_NewTRADER[[#This Row],[Sale_Back_$]])</f>
        <v>58926.391999999985</v>
      </c>
      <c r="AJ6" s="1370" t="str">
        <f ca="1">TEXT(Tab_NewTRADER[[#This Row],[L_Sn]],"#,#0")&amp;" ("&amp;Tab_NewTRADER[[#This Row],[M]]&amp;"/"&amp;TEXT(Tab_NewTRADER[[#This Row],[L_Sp]],"#,#0.#0)")</f>
        <v>200 (244.56/221.52)</v>
      </c>
      <c r="AK6" s="1370">
        <f ca="1">IF(Tab_NewTRADER[[#This Row],[M]]&lt;_xlfn.XLOOKUP(Tab_NewTRADER[[#This Row],[ClickTick]],TabCalc[Ticker],TabCalc[Max_Buy_P]), -Tab_NewTRADER[[#This Row],[Buy_Back]], 0)</f>
        <v>0</v>
      </c>
      <c r="AL6" s="1177" cm="1">
        <f t="array" aca="1" ref="AL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4597.0166000000036</v>
      </c>
      <c r="AM6" s="1177">
        <f ca="1">Tab_NewTRADER[[#This Row],[N]]*(Tab_NewTRADER[[#This Row],[M]]-Tab_NewTRADER[[#This Row],[A]])*(1-Commission)*Tab_NewTRADER[[#This Row],[Scale]]</f>
        <v>495525.49522799987</v>
      </c>
      <c r="AN6" s="1177">
        <f ca="1">Tab_NewTRADER[[#This Row],[M]]*Tab_NewTRADER[[#This Row],[N]]*(1-Commission)*Tab_NewTRADER[[#This Row],[Scale]]</f>
        <v>2927089.7279999997</v>
      </c>
      <c r="AO6" s="1186" cm="1">
        <f t="array" aca="1" ref="AO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0.20378877454662073</v>
      </c>
      <c r="AP6" s="1186" cm="1">
        <f t="array" aca="1" ref="AP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9.1630454694144645E-2</v>
      </c>
      <c r="AQ6" s="825" cm="1">
        <f t="array" aca="1" ref="AQ6" ca="1">_xlfn.IFS(   Tab_NewTRADER[[#This Row],[Trap_vs_Last]]=SellMorePercentGain,                     MIN(Tab_NewTRADER[[#This Row],[L_Sn]],Tab_NewTRADER[[#This Row],[N]])*(Tab_NewTRADER[[#This Row],[M]]-Tab_NewTRADER[[#This Row],[L_Sp]])*(1-Commission)*Tab_NewTRADER[[#This Row],[Scale]],                    TRUE,"")</f>
        <v>4597.0166000000036</v>
      </c>
      <c r="AR6" s="1175">
        <f ca="1">_xlfn.XLOOKUP(Tab_NewTRADER[[#This Row],[ClickTick]],TabCalc[Ticker],TabCalc[Ann%RevLB])</f>
        <v>0.50467066186534126</v>
      </c>
      <c r="AS6" s="1282">
        <f ca="1">_xlfn.XLOOKUP(Tab_NewTRADER[[#This Row],[ClickTick]],TabCalc[Ticker],TabCalc[Up20])</f>
        <v>0</v>
      </c>
      <c r="AT6" s="1187" t="str" cm="1">
        <f t="array" aca="1" ref="AT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 s="825" t="str" cm="1">
        <f t="array" aca="1" ref="AU6" ca="1">_xlfn.IFS(         Tab_NewTRADER[[#This Row],[Trap_vs_Last]]=MDown,Tab_NewTRADER[[#This Row],[L_Bn]]*Tab_NewTRADER[[#This Row],[M]]*(-(Tab_NewTRADER[[#This Row],[L_Bp]]+Tab_NewTRADER[[#This Row],[M]])/Tab_NewTRADER[[#This Row],[M]])*(1-Commission)*Tab_NewTRADER[[#This Row],[Scale]],                               TRUE,"")</f>
        <v/>
      </c>
      <c r="AV6" s="1186" cm="1">
        <f t="array" aca="1" ref="AV6" ca="1">_xlfn.IFS(   Tab_NewTRADER[[#This Row],[Trap_vs_Last]]=MUp,Tab_NewTRADER[[#This Row],[TakeGain_A]]-Commission,        Tab_NewTRADER[[#This Row],[Trap_vs_Last]]=MDown,(Tab_NewTRADER[[#This Row],[A]]-Tab_NewTRADER[[#This Row],[M]])/Tab_NewTRADER[[#This Row],[M]]-Commission,                              TRUE,"")</f>
        <v>0.20118877454662074</v>
      </c>
      <c r="AW6" s="760" cm="1">
        <f t="array" aca="1" ref="AW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596508.02865712135</v>
      </c>
      <c r="AX6" s="760" t="str" cm="1">
        <f t="array" aca="1" ref="AX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6" s="736" t="str" cm="1">
        <f t="array" aca="1" ref="AY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2,000x41.4</v>
      </c>
      <c r="AZ6" s="765" cm="1">
        <f t="array" aca="1" ref="AZ6" ca="1">_xlfn.IFS(Tab_NewTRADER[[#This Row],[Trap_vs_Last]]=ReSaleGain,"",         Tab_NewTRADER[[#This Row],[Trap_vs_Last]]=MDown, (Tab_NewTRADER[[#This Row],[M]]-Tab_NewTRADER[[#This Row],[A]])/Tab_NewTRADER[[#This Row],[A]]*ComFactor,             TRUE, IFERROR((Tab_NewTRADER[[#This Row],[M]]-Tab_NewTRADER[[#This Row],[A]])/Tab_NewTRADER[[#This Row],[A]]*ComFactor,""))</f>
        <v>0.2032589237327995</v>
      </c>
      <c r="BA6" s="762" cm="1">
        <f t="array" aca="1" ref="BA6" ca="1">_xlfn.IFS(               Tab_NewTRADER[[#This Row],[Trap_vs_Last]]=NoStock,(Tab_NewTRADER[[#This Row],[L_Sp]]-Tab_NewTRADER[[#This Row],[M]])/Tab_NewTRADER[[#This Row],[M]]-Commission,             Tab_NewTRADER[[#This Row],[A]]&lt;&gt;0,(Tab_NewTRADER[[#This Row],[A]]-Tab_NewTRADER[[#This Row],[M]])/Tab_NewTRADER[[#This Row],[M]]-Commission)</f>
        <v>-0.17188947906444221</v>
      </c>
      <c r="BB6" s="324">
        <f ca="1">_xlfn.XLOOKUP(Tab_NewTRADER[[#This Row],[ClickTick]],TabCalc[Ticker],TabCalc[L_Sn])</f>
        <v>200</v>
      </c>
      <c r="BC6" s="728">
        <f ca="1">_xlfn.XLOOKUP(Tab_NewTRADER[[#This Row],[ClickTick]],TabCalc[Ticker],TabCalc[L_Sp])</f>
        <v>221.51499999999999</v>
      </c>
      <c r="BD6" s="764">
        <f ca="1">-IFERROR((Tab_NewTRADER[[#This Row],[M]]-Tab_NewTRADER[[#This Row],[L_Sp]])/Tab_NewTRADER[[#This Row],[L_Sp]],0)</f>
        <v>-0.10403358689027839</v>
      </c>
      <c r="BE6" s="729">
        <f ca="1">MIN(Tab_NewTRADER[[#This Row],[L_Sn]],Tab_NewTRADER[[#This Row],[N]])*(Tab_NewTRADER[[#This Row],[M]]-Tab_NewTRADER[[#This Row],[L_Sp]])*(1-Commission)*Tab_NewTRADER[[#This Row],[Scale]]</f>
        <v>4597.0166000000036</v>
      </c>
      <c r="BF6" s="692">
        <f ca="1">Tab_NewTRADER[[#This Row],[L_Sn]]*(Tab_NewTRADER[[#This Row],[Agiotage]]-Tab_NewTRADER[[#This Row],[M]])/(Tab_NewTRADER[[#This Row],[L_Bn]]*Tab_NewTRADER[[#This Row],[M]])</f>
        <v>-9.9716140407684437E-2</v>
      </c>
      <c r="BG6" s="635">
        <f ca="1">IFERROR((Tab_NewTRADER[[#This Row],[M]]-Tab_NewTRADER[[#This Row],[A]])/Tab_NewTRADER[[#This Row],[A]],0)</f>
        <v>0.20378877454662073</v>
      </c>
      <c r="BH6" s="638" t="str">
        <f ca="1">TEXT(_xlfn.XLOOKUP(Tab_NewTRADER[[#This Row],[ClickTick]],TabCalc[Ticker],TabCalc[NAfter]),"#,#0")&amp;" : "&amp;TEXT(_xlfn.XLOOKUP(Tab_NewTRADER[[#This Row],[ClickTick]],TabCalc[Ticker],TabCalc[NAfter])*(Tab_NewTRADER[[#This Row],[M]]-Tab_NewTRADER[[#This Row],[A]])*(1-Commission)*Tab_NewTRADER[[#This Row],[Scale]],"#,#0$")</f>
        <v>12,000 : 495,525$</v>
      </c>
      <c r="BI6" s="684">
        <f ca="1">_xlfn.XLOOKUP(Tab_NewTRADER[[#This Row],[ClickTick]],TabCalc[[#This Row],[Ticker]],TabCalc[[#This Row],[GL]])*(1-Commission)</f>
        <v>969827.65497199993</v>
      </c>
      <c r="BJ6" s="684"/>
      <c r="BK6" s="669" t="str">
        <f ca="1">Tab_NewTRADER[[#This Row],[ClickTick]]&amp;": "&amp;_xlfn.XLOOKUP(Tab_NewTRADER[[#This Row],[ClickTick]],TabCalc[Ticker],TabCalc[Pile?])</f>
        <v xml:space="preserve">AMZN: </v>
      </c>
      <c r="BL6" s="351" t="s">
        <v>2001</v>
      </c>
      <c r="BM6" s="755" t="str" cm="1">
        <f t="array" aca="1" ref="BM6" ca="1">_xlfn.TEXTJOIN("",,INDEX({"M","A","Y"}, _xlfn.SORTBY({1,2,3}, -CHOOSE({1,2,3}, Tab_NewTRADER[[#This Row],[M]], Tab_NewTRADER[[#This Row],[A]], Tab_NewTRADER[[#This Row],[Agiotage]]))))</f>
        <v>MAY</v>
      </c>
      <c r="BN6" s="909" cm="1">
        <f t="array" aca="1" ref="BN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9.423045469414465E-2</v>
      </c>
      <c r="BO6" s="679">
        <f ca="1">Tab_NewTRADER[[#This Row],[L_Sn]]*Tab_NewTRADER[[#This Row],[L_Sp]]+Tab_NewTRADER[[#This Row],[SellMore]]*Tab_NewTRADER[[#This Row],[M]]</f>
        <v>142127</v>
      </c>
      <c r="BP6" s="679">
        <f ca="1">INDEX(
  INDEX(TabConsolid[], , _xlfn.XMATCH(Tab_NewTRADER[[#This Row],[ClickTick]]&amp;1, TabConsolid[#Headers])),
  MATCH(
    -Tab_NewTRADER[[#This Row],[M]],
    INDEX(TabConsolid[], , _xlfn.XMATCH(Tab_NewTRADER[[#This Row],[ClickTick]]&amp;2, TabConsolid[#Headers])),
    -1
  )
)</f>
        <v>400</v>
      </c>
      <c r="BQ6" s="679" cm="1">
        <f t="array" aca="1" ref="BQ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R6" s="1156">
        <f ca="1">Tab_NewTRADER[[#This Row],[ReBuy]]/(Tab_NewTRADER[[#This Row],[L_Sn]]+Tab_NewTRADER[[#This Row],[SellMore]])</f>
        <v>236.87833333333333</v>
      </c>
      <c r="BS6" s="687">
        <f ca="1">((_xlfn.XLOOKUP(Tab_NewTRADER[[#This Row],[ClickTick]],TabCalc[Ticker],TabCalc[NAfter])+Tab_NewTRADER[[#This Row],[L_Sn]])*(Tab_NewTRADER[[#This Row],[Agiotage]]-Tab_NewTRADER[[#This Row],[M]]))/(Tab_NewTRADER[[#This Row],[L_Sn]]*_xlfn.XLOOKUP(Tab_NewTRADER[[#This Row],[ClickTick]],TabCalc[Ticker],TabCalc[NAfter]))</f>
        <v>-1.2396511143202513</v>
      </c>
      <c r="BT6" s="687">
        <f ca="1">(Tab_NewTRADER[[#This Row],[M]]-Tab_NewTRADER[[#This Row],[Agiotage]])/(Tab_NewTRADER[[#This Row],[M]]-Tab_NewTRADER[[#This Row],[A]])-1</f>
        <v>4.890273923622046</v>
      </c>
      <c r="BU6" s="1277">
        <f ca="1">_xlfn.XMATCH(Tab_NewTRADER[[#This Row],[ClickTick]]&amp;1, TabConsolid[#Headers])</f>
        <v>11</v>
      </c>
      <c r="BV6" t="b">
        <f ca="1">IF(ABS(Tab_NewTRADER[[#This Row],[L_Bp]])&gt;=Tab_NewTRADER[[#This Row],[M]],"OK")</f>
        <v>0</v>
      </c>
    </row>
    <row r="7" spans="1:74"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-2,250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-6,300$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1.9658076923076924</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63921</v>
      </c>
      <c r="M7" s="323">
        <f ca="1">_xlfn.XLOOKUP(Tab_NewTRADER[[#This Row],[ClickTick]],TabCalc[Ticker],TabCalc[Agiotage])</f>
        <v>0.32673879443585779</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-0.16129032258064518</v>
      </c>
      <c r="S7" s="683">
        <f ca="1">_xlfn.XLOOKUP(Tab_NewTRADER[[#This Row],[ClickTick]],TabCalc[Ticker],TabCalc[Rev(MinStock)])*(1-Commission)</f>
        <v>-2244.1500000000005</v>
      </c>
      <c r="T7" s="1367">
        <f ca="1">_xlfn.XLOOKUP(Tab_NewTRADER[[#This Row],[ClickTick]],TabCalc[Ticker],TabCalc[Agiotage])</f>
        <v>0.32673879443585779</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7" s="739" t="str">
        <f ca="1">_xlfn.XLOOKUP(Tab_NewTRADER[[#This Row],[ClickTick]],[1]!RTData[Ticker_Symbol],[1]!RTData[Currency])</f>
        <v>EUR</v>
      </c>
      <c r="W7" s="749">
        <f ca="1">_xlfn.XLOOKUP(Tab_NewTRADER[[#This Row],[ClickTick]],TabCalc[Ticker],TabCalc[M])</f>
        <v>0.78</v>
      </c>
      <c r="X7" s="1343"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-979/1,973 K$</v>
      </c>
      <c r="AE7" s="1173" t="str" cm="1">
        <f t="array" aca="1" ref="AE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 s="1177" t="str" cm="1">
        <f t="array" aca="1" ref="AF7" ca="1">_xlfn.IFS(       Tab_NewTRADER[[#This Row],[Trap_vs_Last]]=RePurchaseGain,TEXT(Tab_NewTRADER[[#This Row],[L_Sn]],"#,#0")&amp;" x "&amp;TEXT(Tab_NewTRADER[[#This Row],[L_Sp]],"#,#0.#0"),     Tab_NewTRADER[[#This Row],[Trap_vs_Last]]=ReSaleGain,Tab_NewTRADER[[#This Row],[ToSell]],               TRUE,"")</f>
        <v/>
      </c>
      <c r="AG7" s="1177" t="str" cm="1">
        <f t="array" aca="1" ref="AG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H7" s="1370" t="str">
        <f ca="1">TEXT(MIN(Tab_NewTRADER[[#This Row],[L_Bn]],Tab_NewTRADER[[#This Row],[N]]),"#,#0")&amp;" x "&amp;TEXT(Tab_NewTRADER[[#This Row],[L_Bp]],"#,#0.#0")</f>
        <v>15,000 x -0.93</v>
      </c>
      <c r="AI7" s="1370">
        <f ca="1">IF(Tab_NewTRADER[[#This Row],[M]]&lt;_xlfn.XLOOKUP(Tab_NewTRADER[[#This Row],[ClickTick]],TabCalc[Ticker],TabCalc[Max_Buy_P]), 0,Tab_NewTRADER[[#This Row],[Sale_Back_$]])</f>
        <v>0</v>
      </c>
      <c r="AJ7" s="1370" t="str">
        <f ca="1">TEXT(Tab_NewTRADER[[#This Row],[L_Sn]],"#,#0")&amp;" ("&amp;Tab_NewTRADER[[#This Row],[M]]&amp;"/"&amp;TEXT(Tab_NewTRADER[[#This Row],[L_Sp]],"#,#0.#0)")</f>
        <v>0 (0.78/0.0)</v>
      </c>
      <c r="AK7" s="1370">
        <f ca="1">IF(Tab_NewTRADER[[#This Row],[M]]&lt;_xlfn.XLOOKUP(Tab_NewTRADER[[#This Row],[ClickTick]],TabCalc[Ticker],TabCalc[Max_Buy_P]), -Tab_NewTRADER[[#This Row],[Buy_Back]], 0)</f>
        <v>0</v>
      </c>
      <c r="AL7" s="1177" cm="1">
        <f t="array" aca="1" ref="AL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2244.1500000000005</v>
      </c>
      <c r="AM7" s="760">
        <f ca="1">Tab_NewTRADER[[#This Row],[N]]*(Tab_NewTRADER[[#This Row],[M]]-Tab_NewTRADER[[#This Row],[A]])*(1-Commission)*Tab_NewTRADER[[#This Row],[Scale]]</f>
        <v>-976475.58655643114</v>
      </c>
      <c r="AN7" s="760">
        <f ca="1">Tab_NewTRADER[[#This Row],[M]]*Tab_NewTRADER[[#This Row],[N]]*(1-Commission)*Tab_NewTRADER[[#This Row],[Scale]]</f>
        <v>1968269.16</v>
      </c>
      <c r="AO7" s="1186" cm="1">
        <f t="array" aca="1" ref="AO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0.33159939845323316</v>
      </c>
      <c r="AP7" s="1186" cm="1">
        <f t="array" aca="1" ref="AP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0.18970769230769233</v>
      </c>
      <c r="AQ7" s="825" t="str" cm="1">
        <f t="array" aca="1" ref="AQ7" ca="1">_xlfn.IFS(   Tab_NewTRADER[[#This Row],[Trap_vs_Last]]=SellMorePercentGain,                     MIN(Tab_NewTRADER[[#This Row],[L_Sn]],Tab_NewTRADER[[#This Row],[N]])*(Tab_NewTRADER[[#This Row],[M]]-Tab_NewTRADER[[#This Row],[L_Sp]])*(1-Commission)*Tab_NewTRADER[[#This Row],[Scale]],                    TRUE,"")</f>
        <v/>
      </c>
      <c r="AR7" s="1175">
        <f ca="1">_xlfn.XLOOKUP(Tab_NewTRADER[[#This Row],[ClickTick]],TabCalc[Ticker],TabCalc[Ann%RevLB])</f>
        <v>-0.24813895781637721</v>
      </c>
      <c r="AS7" s="1282">
        <f ca="1">_xlfn.XLOOKUP(Tab_NewTRADER[[#This Row],[ClickTick]],TabCalc[Ticker],TabCalc[Up20])</f>
        <v>0</v>
      </c>
      <c r="AT7" s="1368" cm="1">
        <f t="array" aca="1" ref="AT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0.19230769230769232</v>
      </c>
      <c r="AU7" s="825" cm="1">
        <f t="array" aca="1" ref="AU7" ca="1">_xlfn.IFS(         Tab_NewTRADER[[#This Row],[Trap_vs_Last]]=MDown,Tab_NewTRADER[[#This Row],[L_Bn]]*Tab_NewTRADER[[#This Row],[M]]*(-(Tab_NewTRADER[[#This Row],[L_Bp]]+Tab_NewTRADER[[#This Row],[M]])/Tab_NewTRADER[[#This Row],[M]])*(1-Commission)*Tab_NewTRADER[[#This Row],[Scale]],                               TRUE,"")</f>
        <v>2244.15</v>
      </c>
      <c r="AV7" s="1186" cm="1">
        <f t="array" aca="1" ref="AV7" ca="1">_xlfn.IFS(   Tab_NewTRADER[[#This Row],[Trap_vs_Last]]=MUp,Tab_NewTRADER[[#This Row],[TakeGain_A]]-Commission,        Tab_NewTRADER[[#This Row],[Trap_vs_Last]]=MDown,(Tab_NewTRADER[[#This Row],[A]]-Tab_NewTRADER[[#This Row],[M]])/Tab_NewTRADER[[#This Row],[M]]-Commission,                              TRUE,"")</f>
        <v>0.49350876723609854</v>
      </c>
      <c r="AW7" s="825" cm="1">
        <f t="array" aca="1" ref="AW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976475.58655643114</v>
      </c>
      <c r="AX7" s="760" t="str" cm="1">
        <f t="array" aca="1" ref="AX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7" s="736" cm="1">
        <f t="array" aca="1" ref="AY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-0.15</v>
      </c>
      <c r="AZ7" s="765" cm="1">
        <f t="array" aca="1" ref="AZ7" ca="1">_xlfn.IFS(Tab_NewTRADER[[#This Row],[Trap_vs_Last]]=ReSaleGain,"",         Tab_NewTRADER[[#This Row],[Trap_vs_Last]]=MDown, (Tab_NewTRADER[[#This Row],[M]]-Tab_NewTRADER[[#This Row],[A]])/Tab_NewTRADER[[#This Row],[A]]*ComFactor,             TRUE, IFERROR((Tab_NewTRADER[[#This Row],[M]]-Tab_NewTRADER[[#This Row],[A]])/Tab_NewTRADER[[#This Row],[A]]*ComFactor,""))</f>
        <v>-0.33073724001725474</v>
      </c>
      <c r="BA7" s="762" cm="1">
        <f t="array" aca="1" ref="BA7" ca="1">_xlfn.IFS(               Tab_NewTRADER[[#This Row],[Trap_vs_Last]]=NoStock,(Tab_NewTRADER[[#This Row],[L_Sp]]-Tab_NewTRADER[[#This Row],[M]])/Tab_NewTRADER[[#This Row],[M]]-Commission,             Tab_NewTRADER[[#This Row],[A]]&lt;&gt;0,(Tab_NewTRADER[[#This Row],[A]]-Tab_NewTRADER[[#This Row],[M]])/Tab_NewTRADER[[#This Row],[M]]-Commission)</f>
        <v>0.49350876723609854</v>
      </c>
      <c r="BB7" s="1369">
        <f ca="1">_xlfn.XLOOKUP(Tab_NewTRADER[[#This Row],[ClickTick]],TabCalc[Ticker],TabCalc[L_Sn])</f>
        <v>0</v>
      </c>
      <c r="BC7" s="728">
        <f ca="1">_xlfn.XLOOKUP(Tab_NewTRADER[[#This Row],[ClickTick]],TabCalc[Ticker],TabCalc[L_Sp])</f>
        <v>0</v>
      </c>
      <c r="BD7" s="764">
        <f ca="1">-IFERROR((Tab_NewTRADER[[#This Row],[M]]-Tab_NewTRADER[[#This Row],[L_Sp]])/Tab_NewTRADER[[#This Row],[L_Sp]],0)</f>
        <v>0</v>
      </c>
      <c r="BE7" s="729">
        <f ca="1">MIN(Tab_NewTRADER[[#This Row],[L_Sn]],Tab_NewTRADER[[#This Row],[N]])*(Tab_NewTRADER[[#This Row],[M]]-Tab_NewTRADER[[#This Row],[L_Sp]])*(1-Commission)*Tab_NewTRADER[[#This Row],[Scale]]</f>
        <v>0</v>
      </c>
      <c r="BF7" s="692">
        <f ca="1">Tab_NewTRADER[[#This Row],[L_Sn]]*(Tab_NewTRADER[[#This Row],[Agiotage]]-Tab_NewTRADER[[#This Row],[M]])/(Tab_NewTRADER[[#This Row],[L_Bn]]*Tab_NewTRADER[[#This Row],[M]])</f>
        <v>0</v>
      </c>
      <c r="BG7" s="635">
        <f ca="1">IFERROR((Tab_NewTRADER[[#This Row],[M]]-Tab_NewTRADER[[#This Row],[A]])/Tab_NewTRADER[[#This Row],[A]],0)</f>
        <v>-0.33159939845323316</v>
      </c>
      <c r="BH7" s="638" t="str">
        <f ca="1">TEXT(_xlfn.XLOOKUP(Tab_NewTRADER[[#This Row],[ClickTick]],TabCalc[Ticker],TabCalc[NAfter]),"#,#0")&amp;" : "&amp;TEXT(_xlfn.XLOOKUP(Tab_NewTRADER[[#This Row],[ClickTick]],TabCalc[Ticker],TabCalc[NAfter])*(Tab_NewTRADER[[#This Row],[M]]-Tab_NewTRADER[[#This Row],[A]])*(1-Commission)*Tab_NewTRADER[[#This Row],[Scale]],"#,#0$")</f>
        <v>2,530,000 : -976,476$</v>
      </c>
      <c r="BI7" s="684">
        <f ca="1">_xlfn.XLOOKUP(Tab_NewTRADER[[#This Row],[ClickTick]],TabCalc[[#This Row],[Ticker]],TabCalc[[#This Row],[GL]])*(1-Commission)</f>
        <v>-976475.58655643102</v>
      </c>
      <c r="BJ7" s="684"/>
      <c r="BK7" s="669" t="str">
        <f ca="1">Tab_NewTRADER[[#This Row],[ClickTick]]&amp;": "&amp;_xlfn.XLOOKUP(Tab_NewTRADER[[#This Row],[ClickTick]],TabCalc[Ticker],TabCalc[Pile?])</f>
        <v>ALDNE: Pile</v>
      </c>
      <c r="BL7" s="351" t="s">
        <v>2076</v>
      </c>
      <c r="BM7" s="755" t="str" cm="1">
        <f t="array" aca="1" ref="BM7" ca="1">_xlfn.TEXTJOIN("",,INDEX({"M","A","Y"}, _xlfn.SORTBY({1,2,3}, -CHOOSE({1,2,3}, Tab_NewTRADER[[#This Row],[M]], Tab_NewTRADER[[#This Row],[A]], Tab_NewTRADER[[#This Row],[Agiotage]]))))</f>
        <v>AMY</v>
      </c>
      <c r="BN7" s="909" cm="1">
        <f t="array" aca="1" ref="BN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0.19230769230769232</v>
      </c>
      <c r="BO7" s="679" t="e">
        <f ca="1">Tab_NewTRADER[[#This Row],[L_Sn]]*Tab_NewTRADER[[#This Row],[L_Sp]]+Tab_NewTRADER[[#This Row],[SellMore]]*Tab_NewTRADER[[#This Row],[M]]</f>
        <v>#N/A</v>
      </c>
      <c r="BP7" s="679" t="e">
        <f ca="1">INDEX(
  INDEX(TabConsolid[], , _xlfn.XMATCH(Tab_NewTRADER[[#This Row],[ClickTick]]&amp;1, TabConsolid[#Headers])),
  MATCH(
    -Tab_NewTRADER[[#This Row],[M]],
    INDEX(TabConsolid[], , _xlfn.XMATCH(Tab_NewTRADER[[#This Row],[ClickTick]]&amp;2, TabConsolid[#Headers])),
    -1
  )
)</f>
        <v>#N/A</v>
      </c>
      <c r="BQ7" s="679" cm="1">
        <f t="array" aca="1" ref="BQ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R7" s="1156" t="e">
        <f ca="1">Tab_NewTRADER[[#This Row],[ReBuy]]/(Tab_NewTRADER[[#This Row],[L_Sn]]+Tab_NewTRADER[[#This Row],[SellMore]])</f>
        <v>#N/A</v>
      </c>
      <c r="BS7" s="687" t="e">
        <f ca="1">((_xlfn.XLOOKUP(Tab_NewTRADER[[#This Row],[ClickTick]],TabCalc[Ticker],TabCalc[NAfter])+Tab_NewTRADER[[#This Row],[L_Sn]])*(Tab_NewTRADER[[#This Row],[Agiotage]]-Tab_NewTRADER[[#This Row],[M]]))/(Tab_NewTRADER[[#This Row],[L_Sn]]*_xlfn.XLOOKUP(Tab_NewTRADER[[#This Row],[ClickTick]],TabCalc[Ticker],TabCalc[NAfter]))</f>
        <v>#DIV/0!</v>
      </c>
      <c r="BT7" s="687">
        <f ca="1">(Tab_NewTRADER[[#This Row],[M]]-Tab_NewTRADER[[#This Row],[Agiotage]])/(Tab_NewTRADER[[#This Row],[M]]-Tab_NewTRADER[[#This Row],[A]])-1</f>
        <v>-2.1713240081102425</v>
      </c>
      <c r="BU7" s="1277">
        <f ca="1">_xlfn.XMATCH(Tab_NewTRADER[[#This Row],[ClickTick]]&amp;1, TabConsolid[#Headers])</f>
        <v>14</v>
      </c>
      <c r="BV7" t="str">
        <f ca="1">IF(ABS(Tab_NewTRADER[[#This Row],[L_Bp]])&gt;=Tab_NewTRADER[[#This Row],[M]],"OK")</f>
        <v>OK</v>
      </c>
    </row>
    <row r="8" spans="1:74"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+11,380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6.5%</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88/3,100=76,520</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127</v>
      </c>
      <c r="F8" s="226" t="str">
        <f ca="1">TRUNC(TabCalc[[#This Row],[L_B1p]],2)&amp;"x"&amp;TabCalc[[#This Row],[L_B1n]]&amp;"=   "&amp;TEXT(TabCalc[[#This Row],[ReverseS1]],"#,#0")&amp;"$"</f>
        <v>-804.9x200=   13,180$</v>
      </c>
      <c r="G8" s="225" t="str">
        <f ca="1">IFERROR(TRUNC(_xlfn.XLOOKUP(Tab_NewTRADER[[#This Row],[ClickTick]],TabCalc[Ticker],ListLastSalep),2)&amp;"x"&amp;_xlfn.XLOOKUP(Tab_NewTRADER[[#This Row],[ClickTick]],TabCalc[Ticker],ListLastSalen)&amp;"=   "&amp;TEXT(-_xlfn.XLOOKUP(Tab_NewTRADER[[#This Row],[ClickTick]],TabCalc[Ticker],ListReverseB),"#,#0")&amp;"$","")</f>
        <v>910.25x100=   -3,945$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 = 127</v>
      </c>
      <c r="I8" s="226" t="str">
        <f ca="1">IFERROR(TRUNC(TabCalc[[#This Row],[L_S1p]],2)&amp;"x"&amp;TabCalc[[#This Row],[L_S1n]]&amp;"=   "&amp;TEXT(TabCalc[[#This Row],[ReverseB1]],"#,#0"),"")</f>
        <v>894.75x100=   2,395</v>
      </c>
      <c r="J8" s="295">
        <f ca="1">_xlfn.XLOOKUP(Tab_NewTRADER[[#This Row],[ClickTick]],TabCalc[Ticker],ListGravity)</f>
        <v>1.08165280202113</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2264080</v>
      </c>
      <c r="M8" s="323">
        <f ca="1">_xlfn.XLOOKUP(Tab_NewTRADER[[#This Row],[ClickTick]],TabCalc[Ticker],TabCalc[Agiotage])</f>
        <v>1.4227731762002704</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6.9910308391694279E-2</v>
      </c>
      <c r="S8" s="683">
        <f ca="1">_xlfn.XLOOKUP(Tab_NewTRADER[[#This Row],[ClickTick]],TabCalc[Ticker],TabCalc[Rev(MinStock)])*(1-Commission)</f>
        <v>11350.411999999997</v>
      </c>
      <c r="T8" s="782">
        <f ca="1">_xlfn.XLOOKUP(Tab_NewTRADER[[#This Row],[ClickTick]],TabCalc[Ticker],TabCalc[Agiotage])</f>
        <v>1.4227731762002704</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-87,420/-87,420=&gt;-2.7% / -2.7%</v>
      </c>
      <c r="V8" s="739" t="str">
        <f ca="1">_xlfn.XLOOKUP(Tab_NewTRADER[[#This Row],[ClickTick]],[1]!RTData[Ticker_Symbol],[1]!RTData[Currency])</f>
        <v>EUR</v>
      </c>
      <c r="W8" s="749">
        <f ca="1">_xlfn.XLOOKUP(Tab_NewTRADER[[#This Row],[ClickTick]],TabCalc[Ticker],TabCalc[M])</f>
        <v>870.8</v>
      </c>
      <c r="X8" s="1343"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^782 / 2,699 K$</v>
      </c>
      <c r="AE8" s="1195" t="str" cm="1">
        <f t="array" aca="1" ref="AE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 s="1177" t="str" cm="1">
        <f t="array" aca="1" ref="AF8" ca="1">_xlfn.IFS(       Tab_NewTRADER[[#This Row],[Trap_vs_Last]]=RePurchaseGain,TEXT(Tab_NewTRADER[[#This Row],[L_Sn]],"#,#0")&amp;" x "&amp;TEXT(Tab_NewTRADER[[#This Row],[L_Sp]],"#,#0.#0"),     Tab_NewTRADER[[#This Row],[Trap_vs_Last]]=ReSaleGain,Tab_NewTRADER[[#This Row],[ToSell]],               TRUE,"")</f>
        <v>100 x 910.25</v>
      </c>
      <c r="AG8" s="1177" cm="1">
        <f t="array" aca="1" ref="AG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3934.7430000000045</v>
      </c>
      <c r="AH8" s="1370" t="str">
        <f ca="1">TEXT(MIN(Tab_NewTRADER[[#This Row],[L_Bn]],Tab_NewTRADER[[#This Row],[N]]),"#,#0")&amp;" x "&amp;TEXT(Tab_NewTRADER[[#This Row],[L_Bp]],"#,#0.#0")</f>
        <v>200 x -813.90</v>
      </c>
      <c r="AI8" s="1370">
        <f ca="1">IF(Tab_NewTRADER[[#This Row],[M]]&lt;_xlfn.XLOOKUP(Tab_NewTRADER[[#This Row],[ClickTick]],TabCalc[Ticker],TabCalc[Max_Buy_P]), 0,Tab_NewTRADER[[#This Row],[Sale_Back_$]])</f>
        <v>11350.411999999997</v>
      </c>
      <c r="AJ8" s="1370" t="str">
        <f ca="1">TEXT(Tab_NewTRADER[[#This Row],[L_Sn]],"#,#0")&amp;" ("&amp;Tab_NewTRADER[[#This Row],[M]]&amp;"/"&amp;TEXT(Tab_NewTRADER[[#This Row],[L_Sp]],"#,#0.#0)")</f>
        <v>100 (870.8/910.25)</v>
      </c>
      <c r="AK8" s="1370">
        <f ca="1">IF(Tab_NewTRADER[[#This Row],[M]]&lt;_xlfn.XLOOKUP(Tab_NewTRADER[[#This Row],[ClickTick]],TabCalc[Ticker],TabCalc[Max_Buy_P]), -Tab_NewTRADER[[#This Row],[Buy_Back]], 0)</f>
        <v>0</v>
      </c>
      <c r="AL8" s="1177" t="str" cm="1">
        <f t="array" aca="1" ref="AL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 s="1177">
        <f ca="1">Tab_NewTRADER[[#This Row],[N]]*(Tab_NewTRADER[[#This Row],[M]]-Tab_NewTRADER[[#This Row],[A]])*(1-Commission)*Tab_NewTRADER[[#This Row],[Scale]]</f>
        <v>653821.63239999977</v>
      </c>
      <c r="AN8" s="1177">
        <f ca="1">Tab_NewTRADER[[#This Row],[M]]*Tab_NewTRADER[[#This Row],[N]]*(1-Commission)*Tab_NewTRADER[[#This Row],[Scale]]</f>
        <v>2692461.352</v>
      </c>
      <c r="AO8" s="1186" cm="1">
        <f t="array" aca="1" ref="AO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4.333974182916786E-2</v>
      </c>
      <c r="AP8" s="1186" t="str" cm="1">
        <f t="array" aca="1" ref="AP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Tab_NewTRADER[[#This Row],[Trap_vs_Last]]=SellMorePercentGain,                     MIN(Tab_NewTRADER[[#This Row],[L_Sn]],Tab_NewTRADER[[#This Row],[N]])*(Tab_NewTRADER[[#This Row],[M]]-Tab_NewTRADER[[#This Row],[L_Sp]])*(1-Commission)*Tab_NewTRADER[[#This Row],[Scale]],                    TRUE,"")</f>
        <v/>
      </c>
      <c r="AR8" s="1175">
        <f ca="1">_xlfn.XLOOKUP(Tab_NewTRADER[[#This Row],[ClickTick]],TabCalc[Ticker],TabCalc[Ann%RevLB])</f>
        <v>0.89884682217892653</v>
      </c>
      <c r="AS8" s="1282">
        <f ca="1">_xlfn.XLOOKUP(Tab_NewTRADER[[#This Row],[ClickTick]],TabCalc[Ticker],TabCalc[Up20])</f>
        <v>0</v>
      </c>
      <c r="AT8" s="1187" t="str" cm="1">
        <f t="array" aca="1" ref="AT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 s="825" t="str" cm="1">
        <f t="array" aca="1" ref="AU8" ca="1">_xlfn.IFS(         Tab_NewTRADER[[#This Row],[Trap_vs_Last]]=MDown,Tab_NewTRADER[[#This Row],[L_Bn]]*Tab_NewTRADER[[#This Row],[M]]*(-(Tab_NewTRADER[[#This Row],[L_Bp]]+Tab_NewTRADER[[#This Row],[M]])/Tab_NewTRADER[[#This Row],[M]])*(1-Commission)*Tab_NewTRADER[[#This Row],[Scale]],                               TRUE,"")</f>
        <v/>
      </c>
      <c r="AV8" s="1186" t="str" cm="1">
        <f t="array" aca="1" ref="AV8" ca="1">_xlfn.IFS(   Tab_NewTRADER[[#This Row],[Trap_vs_Last]]=MUp,Tab_NewTRADER[[#This Row],[TakeGain_A]]-Commission,        Tab_NewTRADER[[#This Row],[Trap_vs_Last]]=MDown,(Tab_NewTRADER[[#This Row],[A]]-Tab_NewTRADER[[#This Row],[M]])/Tab_NewTRADER[[#This Row],[M]]-Commission,                              TRUE,"")</f>
        <v/>
      </c>
      <c r="AW8" s="760" cm="1">
        <f t="array" aca="1" ref="AW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653821.63239999977</v>
      </c>
      <c r="AX8" s="760" t="str" cm="1">
        <f t="array" aca="1" ref="AX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-0.7%</v>
      </c>
      <c r="AY8" s="736" t="str" cm="1">
        <f t="array" aca="1" ref="AY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 s="765" cm="1">
        <f t="array" aca="1" ref="AZ8" ca="1">_xlfn.IFS(Tab_NewTRADER[[#This Row],[Trap_vs_Last]]=ReSaleGain,"",         Tab_NewTRADER[[#This Row],[Trap_vs_Last]]=MDown, (Tab_NewTRADER[[#This Row],[M]]-Tab_NewTRADER[[#This Row],[A]])/Tab_NewTRADER[[#This Row],[A]]*ComFactor,             TRUE, IFERROR((Tab_NewTRADER[[#This Row],[M]]-Tab_NewTRADER[[#This Row],[A]])/Tab_NewTRADER[[#This Row],[A]]*ComFactor,""))</f>
        <v>0.31988079594746249</v>
      </c>
      <c r="BA8" s="762" cm="1">
        <f t="array" aca="1" ref="BA8" ca="1">_xlfn.IFS(               Tab_NewTRADER[[#This Row],[Trap_vs_Last]]=NoStock,(Tab_NewTRADER[[#This Row],[L_Sp]]-Tab_NewTRADER[[#This Row],[M]])/Tab_NewTRADER[[#This Row],[M]]-Commission,             Tab_NewTRADER[[#This Row],[A]]&lt;&gt;0,(Tab_NewTRADER[[#This Row],[A]]-Tab_NewTRADER[[#This Row],[M]])/Tab_NewTRADER[[#This Row],[M]]-Commission)</f>
        <v>-0.24543417547083132</v>
      </c>
      <c r="BB8" s="324">
        <f ca="1">_xlfn.XLOOKUP(Tab_NewTRADER[[#This Row],[ClickTick]],TabCalc[Ticker],TabCalc[L_Sn])</f>
        <v>100</v>
      </c>
      <c r="BC8" s="728">
        <f ca="1">_xlfn.XLOOKUP(Tab_NewTRADER[[#This Row],[ClickTick]],TabCalc[Ticker],TabCalc[L_Sp])</f>
        <v>910.25</v>
      </c>
      <c r="BD8" s="764">
        <f ca="1">-IFERROR((Tab_NewTRADER[[#This Row],[M]]-Tab_NewTRADER[[#This Row],[L_Sp]])/Tab_NewTRADER[[#This Row],[L_Sp]],0)</f>
        <v>4.333974182916786E-2</v>
      </c>
      <c r="BE8" s="729">
        <f ca="1">MIN(Tab_NewTRADER[[#This Row],[L_Sn]],Tab_NewTRADER[[#This Row],[N]])*(Tab_NewTRADER[[#This Row],[M]]-Tab_NewTRADER[[#This Row],[L_Sp]])*(1-Commission)*Tab_NewTRADER[[#This Row],[Scale]]</f>
        <v>-3934.7430000000045</v>
      </c>
      <c r="BF8" s="692">
        <f ca="1">Tab_NewTRADER[[#This Row],[L_Sn]]*(Tab_NewTRADER[[#This Row],[Agiotage]]-Tab_NewTRADER[[#This Row],[M]])/(Tab_NewTRADER[[#This Row],[L_Bn]]*Tab_NewTRADER[[#This Row],[M]])</f>
        <v>-0.49918306547071645</v>
      </c>
      <c r="BG8" s="635">
        <f ca="1">IFERROR((Tab_NewTRADER[[#This Row],[M]]-Tab_NewTRADER[[#This Row],[A]])/Tab_NewTRADER[[#This Row],[A]],0)</f>
        <v>0.32071465404798727</v>
      </c>
      <c r="BH8" s="638" t="str">
        <f ca="1">TEXT(_xlfn.XLOOKUP(Tab_NewTRADER[[#This Row],[ClickTick]],TabCalc[Ticker],TabCalc[NAfter]),"#,#0")&amp;" : "&amp;TEXT(_xlfn.XLOOKUP(Tab_NewTRADER[[#This Row],[ClickTick]],TabCalc[Ticker],TabCalc[NAfter])*(Tab_NewTRADER[[#This Row],[M]]-Tab_NewTRADER[[#This Row],[A]])*(1-Commission)*Tab_NewTRADER[[#This Row],[Scale]],"#,#0$")</f>
        <v>3,100 : 653,822$</v>
      </c>
      <c r="BI8" s="684">
        <f ca="1">_xlfn.XLOOKUP(Tab_NewTRADER[[#This Row],[ClickTick]],TabCalc[[#This Row],[Ticker]],TabCalc[[#This Row],[GL]])*(1-Commission)</f>
        <v>780127.19189400005</v>
      </c>
      <c r="BJ8" s="684"/>
      <c r="BK8" s="669" t="str">
        <f ca="1">Tab_NewTRADER[[#This Row],[ClickTick]]&amp;": "&amp;_xlfn.XLOOKUP(Tab_NewTRADER[[#This Row],[ClickTick]],TabCalc[Ticker],TabCalc[Pile?])</f>
        <v xml:space="preserve">ASML: </v>
      </c>
      <c r="BL8" s="351" t="s">
        <v>2047</v>
      </c>
      <c r="BM8" s="755" t="str" cm="1">
        <f t="array" aca="1" ref="BM8" ca="1">_xlfn.TEXTJOIN("",,INDEX({"M","A","Y"}, _xlfn.SORTBY({1,2,3}, -CHOOSE({1,2,3}, Tab_NewTRADER[[#This Row],[M]], Tab_NewTRADER[[#This Row],[A]], Tab_NewTRADER[[#This Row],[Agiotage]]))))</f>
        <v>MAY</v>
      </c>
      <c r="BN8" s="909" t="str" cm="1">
        <f t="array" aca="1" ref="BN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 s="679">
        <f ca="1">Tab_NewTRADER[[#This Row],[L_Sn]]*Tab_NewTRADER[[#This Row],[L_Sp]]+Tab_NewTRADER[[#This Row],[SellMore]]*Tab_NewTRADER[[#This Row],[M]]</f>
        <v>265185</v>
      </c>
      <c r="BP8" s="679">
        <f ca="1">INDEX(
  INDEX(TabConsolid[], , _xlfn.XMATCH(Tab_NewTRADER[[#This Row],[ClickTick]]&amp;1, TabConsolid[#Headers])),
  MATCH(
    -Tab_NewTRADER[[#This Row],[M]],
    INDEX(TabConsolid[], , _xlfn.XMATCH(Tab_NewTRADER[[#This Row],[ClickTick]]&amp;2, TabConsolid[#Headers])),
    -1
  )
)</f>
        <v>200</v>
      </c>
      <c r="BQ8" s="679" cm="1">
        <f t="array" aca="1" ref="BQ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8" s="1156">
        <f ca="1">Tab_NewTRADER[[#This Row],[ReBuy]]/(Tab_NewTRADER[[#This Row],[L_Sn]]+Tab_NewTRADER[[#This Row],[SellMore]])</f>
        <v>883.95</v>
      </c>
      <c r="BS8" s="687">
        <f ca="1">((_xlfn.XLOOKUP(Tab_NewTRADER[[#This Row],[ClickTick]],TabCalc[Ticker],TabCalc[NAfter])+Tab_NewTRADER[[#This Row],[L_Sn]])*(Tab_NewTRADER[[#This Row],[Agiotage]]-Tab_NewTRADER[[#This Row],[M]]))/(Tab_NewTRADER[[#This Row],[L_Sn]]*_xlfn.XLOOKUP(Tab_NewTRADER[[#This Row],[ClickTick]],TabCalc[Ticker],TabCalc[NAfter]))</f>
        <v>-8.9742165349553513</v>
      </c>
      <c r="BT8" s="687">
        <f ca="1">(Tab_NewTRADER[[#This Row],[M]]-Tab_NewTRADER[[#This Row],[Agiotage]])/(Tab_NewTRADER[[#This Row],[M]]-Tab_NewTRADER[[#This Row],[A]])-1</f>
        <v>3.111308175654024</v>
      </c>
      <c r="BU8" s="1277">
        <f ca="1">_xlfn.XMATCH(Tab_NewTRADER[[#This Row],[ClickTick]]&amp;1, TabConsolid[#Headers])</f>
        <v>17</v>
      </c>
      <c r="BV8" t="b">
        <f ca="1">IF(ABS(Tab_NewTRADER[[#This Row],[L_Bp]])&gt;=Tab_NewTRADER[[#This Row],[M]],"OK")</f>
        <v>0</v>
      </c>
    </row>
    <row r="9" spans="1:74"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+3,309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34,550$</v>
      </c>
      <c r="G9" s="225" t="str">
        <f ca="1">IFERROR(TRUNC(_xlfn.XLOOKUP(Tab_NewTRADER[[#This Row],[ClickTick]],TabCalc[Ticker],ListLastSalep),2)&amp;"x"&amp;_xlfn.XLOOKUP(Tab_NewTRADER[[#This Row],[ClickTick]],TabCalc[Ticker],ListLastSalen)&amp;"=   "&amp;TEXT(-_xlfn.XLOOKUP(Tab_NewTRADER[[#This Row],[ClickTick]],TabCalc[Ticker],ListReverseB),"#,#0")&amp;"$","")</f>
        <v>346.09x160=   207$</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0</v>
      </c>
      <c r="I9" s="226" t="str">
        <f ca="1">IFERROR(TRUNC(TabCalc[[#This Row],[L_S1p]],2)&amp;"x"&amp;TabCalc[[#This Row],[L_S1n]]&amp;"=   "&amp;TEXT(TabCalc[[#This Row],[ReverseB1]],"#,#0"),"")</f>
        <v>256.2x200=   -18,237</v>
      </c>
      <c r="J9" s="295">
        <f ca="1">_xlfn.XLOOKUP(Tab_NewTRADER[[#This Row],[ClickTick]],TabCalc[Ticker],ListGravity)</f>
        <v>1.1295296285101544</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72950.849999999991</v>
      </c>
      <c r="M9" s="323">
        <f ca="1">_xlfn.XLOOKUP(Tab_NewTRADER[[#This Row],[ClickTick]],TabCalc[Ticker],TabCalc[Agiotage])</f>
        <v>0.80981317518787777</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4.7507764677502021E-2</v>
      </c>
      <c r="S9" s="683">
        <f ca="1">_xlfn.XLOOKUP(Tab_NewTRADER[[#This Row],[ClickTick]],TabCalc[Ticker],TabCalc[Rev(MinStock)])*(1-Commission)</f>
        <v>3299.9477699999993</v>
      </c>
      <c r="T9" s="782">
        <f ca="1">_xlfn.XLOOKUP(Tab_NewTRADER[[#This Row],[ClickTick]],TabCalc[Ticker],TabCalc[Agiotage])</f>
        <v>0.80981317518787777</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-2,718/-2,718=&gt;-2.3% / -2.3%</v>
      </c>
      <c r="V9" s="739" t="str">
        <f ca="1">_xlfn.XLOOKUP(Tab_NewTRADER[[#This Row],[ClickTick]],[1]!RTData[Ticker_Symbol],[1]!RTData[Currency])</f>
        <v>USD</v>
      </c>
      <c r="W9" s="749">
        <f ca="1">_xlfn.XLOOKUP(Tab_NewTRADER[[#This Row],[ClickTick]],TabCalc[Ticker],TabCalc[M])</f>
        <v>347.38499999999999</v>
      </c>
      <c r="X9" s="1343"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^72 / 139 K$</v>
      </c>
      <c r="AE9" s="1195" t="str" cm="1">
        <f t="array" aca="1" ref="AE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 s="1177" t="str" cm="1">
        <f t="array" aca="1" ref="AF9" ca="1">_xlfn.IFS(       Tab_NewTRADER[[#This Row],[Trap_vs_Last]]=RePurchaseGain,TEXT(Tab_NewTRADER[[#This Row],[L_Sn]],"#,#0")&amp;" x "&amp;TEXT(Tab_NewTRADER[[#This Row],[L_Sp]],"#,#0.#0"),     Tab_NewTRADER[[#This Row],[Trap_vs_Last]]=ReSaleGain,Tab_NewTRADER[[#This Row],[ToSell]],               TRUE,"")</f>
        <v/>
      </c>
      <c r="AG9" s="1177" t="str" cm="1">
        <f t="array" aca="1" ref="AG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 x 346.09</v>
      </c>
      <c r="AH9" s="1370" t="str">
        <f ca="1">TEXT(MIN(Tab_NewTRADER[[#This Row],[L_Bn]],Tab_NewTRADER[[#This Row],[N]]),"#,#0")&amp;" x "&amp;TEXT(Tab_NewTRADER[[#This Row],[L_Bp]],"#,#0.#0")</f>
        <v>210 x -331.63</v>
      </c>
      <c r="AI9" s="1370">
        <f ca="1">IF(Tab_NewTRADER[[#This Row],[M]]&lt;_xlfn.XLOOKUP(Tab_NewTRADER[[#This Row],[ClickTick]],TabCalc[Ticker],TabCalc[Max_Buy_P]), 0,Tab_NewTRADER[[#This Row],[Sale_Back_$]])</f>
        <v>3299.9477699999993</v>
      </c>
      <c r="AJ9" s="1370" t="str">
        <f ca="1">TEXT(Tab_NewTRADER[[#This Row],[L_Sn]],"#,#0")&amp;" ("&amp;Tab_NewTRADER[[#This Row],[M]]&amp;"/"&amp;TEXT(Tab_NewTRADER[[#This Row],[L_Sp]],"#,#0.#0)")</f>
        <v>160 (347.385/346.09)</v>
      </c>
      <c r="AK9" s="1370">
        <f ca="1">IF(Tab_NewTRADER[[#This Row],[M]]&lt;_xlfn.XLOOKUP(Tab_NewTRADER[[#This Row],[ClickTick]],TabCalc[Ticker],TabCalc[Max_Buy_P]), -Tab_NewTRADER[[#This Row],[Buy_Back]], 0)</f>
        <v>0</v>
      </c>
      <c r="AL9" s="1177" cm="1">
        <f t="array" aca="1" ref="AL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206.66128000000253</v>
      </c>
      <c r="AM9" s="1177">
        <f ca="1">Tab_NewTRADER[[#This Row],[N]]*(Tab_NewTRADER[[#This Row],[M]]-Tab_NewTRADER[[#This Row],[A]])*(1-Commission)*Tab_NewTRADER[[#This Row],[Scale]]</f>
        <v>30581.073614650191</v>
      </c>
      <c r="AN9" s="1177">
        <f ca="1">Tab_NewTRADER[[#This Row],[M]]*Tab_NewTRADER[[#This Row],[N]]*(1-Commission)*Tab_NewTRADER[[#This Row],[Scale]]</f>
        <v>138592.71959999998</v>
      </c>
      <c r="AO9" s="1186" cm="1">
        <f t="array" aca="1" ref="AO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0.28312755847455623</v>
      </c>
      <c r="AP9" s="1186" cm="1">
        <f t="array" aca="1" ref="AP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1.127852382802988E-3</v>
      </c>
      <c r="AQ9" s="825" cm="1">
        <f t="array" aca="1" ref="AQ9" ca="1">_xlfn.IFS(   Tab_NewTRADER[[#This Row],[Trap_vs_Last]]=SellMorePercentGain,                     MIN(Tab_NewTRADER[[#This Row],[L_Sn]],Tab_NewTRADER[[#This Row],[N]])*(Tab_NewTRADER[[#This Row],[M]]-Tab_NewTRADER[[#This Row],[L_Sp]])*(1-Commission)*Tab_NewTRADER[[#This Row],[Scale]],                    TRUE,"")</f>
        <v>206.66128000000253</v>
      </c>
      <c r="AR9" s="1175">
        <f ca="1">_xlfn.XLOOKUP(Tab_NewTRADER[[#This Row],[ClickTick]],TabCalc[Ticker],TabCalc[Ann%RevLB])</f>
        <v>0.61081411728216883</v>
      </c>
      <c r="AS9" s="1282">
        <f ca="1">_xlfn.XLOOKUP(Tab_NewTRADER[[#This Row],[ClickTick]],TabCalc[Ticker],TabCalc[Up20])</f>
        <v>0</v>
      </c>
      <c r="AT9" s="310" t="str" cm="1">
        <f t="array" aca="1" ref="AT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 s="825" t="str" cm="1">
        <f t="array" aca="1" ref="AU9" ca="1">_xlfn.IFS(         Tab_NewTRADER[[#This Row],[Trap_vs_Last]]=MDown,Tab_NewTRADER[[#This Row],[L_Bn]]*Tab_NewTRADER[[#This Row],[M]]*(-(Tab_NewTRADER[[#This Row],[L_Bp]]+Tab_NewTRADER[[#This Row],[M]])/Tab_NewTRADER[[#This Row],[M]])*(1-Commission)*Tab_NewTRADER[[#This Row],[Scale]],                               TRUE,"")</f>
        <v/>
      </c>
      <c r="AV9" s="1186" cm="1">
        <f t="array" aca="1" ref="AV9" ca="1">_xlfn.IFS(   Tab_NewTRADER[[#This Row],[Trap_vs_Last]]=MUp,Tab_NewTRADER[[#This Row],[TakeGain_A]]-Commission,        Tab_NewTRADER[[#This Row],[Trap_vs_Last]]=MDown,(Tab_NewTRADER[[#This Row],[A]]-Tab_NewTRADER[[#This Row],[M]])/Tab_NewTRADER[[#This Row],[M]]-Commission,                              TRUE,"")</f>
        <v>0.28052755847455624</v>
      </c>
      <c r="AW9" s="825" cm="1">
        <f t="array" aca="1" ref="AW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39239.41832269678</v>
      </c>
      <c r="AX9" s="760" t="str" cm="1">
        <f t="array" aca="1" ref="AX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9" s="736" t="str" cm="1">
        <f t="array" aca="1" ref="AY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210x76.65</v>
      </c>
      <c r="AZ9" s="765" cm="1">
        <f t="array" aca="1" ref="AZ9" ca="1">_xlfn.IFS(Tab_NewTRADER[[#This Row],[Trap_vs_Last]]=ReSaleGain,"",         Tab_NewTRADER[[#This Row],[Trap_vs_Last]]=MDown, (Tab_NewTRADER[[#This Row],[M]]-Tab_NewTRADER[[#This Row],[A]])/Tab_NewTRADER[[#This Row],[A]]*ComFactor,             TRUE, IFERROR((Tab_NewTRADER[[#This Row],[M]]-Tab_NewTRADER[[#This Row],[A]])/Tab_NewTRADER[[#This Row],[A]]*ComFactor,""))</f>
        <v>0.28239142682252238</v>
      </c>
      <c r="BA9" s="762" cm="1">
        <f t="array" aca="1" ref="BA9" ca="1">_xlfn.IFS(               Tab_NewTRADER[[#This Row],[Trap_vs_Last]]=NoStock,(Tab_NewTRADER[[#This Row],[L_Sp]]-Tab_NewTRADER[[#This Row],[M]])/Tab_NewTRADER[[#This Row],[M]]-Commission,             Tab_NewTRADER[[#This Row],[A]]&lt;&gt;0,(Tab_NewTRADER[[#This Row],[A]]-Tab_NewTRADER[[#This Row],[M]])/Tab_NewTRADER[[#This Row],[M]]-Commission)</f>
        <v>-0.22325425732976376</v>
      </c>
      <c r="BB9" s="324">
        <f ca="1">_xlfn.XLOOKUP(Tab_NewTRADER[[#This Row],[ClickTick]],TabCalc[Ticker],TabCalc[L_Sn])</f>
        <v>160</v>
      </c>
      <c r="BC9" s="728">
        <f ca="1">_xlfn.XLOOKUP(Tab_NewTRADER[[#This Row],[ClickTick]],TabCalc[Ticker],TabCalc[L_Sp])</f>
        <v>346.09</v>
      </c>
      <c r="BD9" s="764">
        <f ca="1">-IFERROR((Tab_NewTRADER[[#This Row],[M]]-Tab_NewTRADER[[#This Row],[L_Sp]])/Tab_NewTRADER[[#This Row],[L_Sp]],0)</f>
        <v>-3.7418012655668063E-3</v>
      </c>
      <c r="BE9" s="729">
        <f ca="1">MIN(Tab_NewTRADER[[#This Row],[L_Sn]],Tab_NewTRADER[[#This Row],[N]])*(Tab_NewTRADER[[#This Row],[M]]-Tab_NewTRADER[[#This Row],[L_Sp]])*(1-Commission)*Tab_NewTRADER[[#This Row],[Scale]]</f>
        <v>206.66128000000253</v>
      </c>
      <c r="BF9" s="692">
        <f ca="1">Tab_NewTRADER[[#This Row],[L_Sn]]*(Tab_NewTRADER[[#This Row],[Agiotage]]-Tab_NewTRADER[[#This Row],[M]])/(Tab_NewTRADER[[#This Row],[L_Bn]]*Tab_NewTRADER[[#This Row],[M]])</f>
        <v>-0.76012863307240353</v>
      </c>
      <c r="BG9" s="635">
        <f ca="1">IFERROR((Tab_NewTRADER[[#This Row],[M]]-Tab_NewTRADER[[#This Row],[A]])/Tab_NewTRADER[[#This Row],[A]],0)</f>
        <v>0.28312755847455623</v>
      </c>
      <c r="BH9" s="638" t="str">
        <f ca="1">TEXT(_xlfn.XLOOKUP(Tab_NewTRADER[[#This Row],[ClickTick]],TabCalc[Ticker],TabCalc[NAfter]),"#,#0")&amp;" : "&amp;TEXT(_xlfn.XLOOKUP(Tab_NewTRADER[[#This Row],[ClickTick]],TabCalc[Ticker],TabCalc[NAfter])*(Tab_NewTRADER[[#This Row],[M]]-Tab_NewTRADER[[#This Row],[A]])*(1-Commission)*Tab_NewTRADER[[#This Row],[Scale]],"#,#0$")</f>
        <v>400 : 30,581$</v>
      </c>
      <c r="BI9" s="684">
        <f ca="1">_xlfn.XLOOKUP(Tab_NewTRADER[[#This Row],[ClickTick]],TabCalc[[#This Row],[Ticker]],TabCalc[[#This Row],[GL]])*(1-Commission)</f>
        <v>71327.44043245916</v>
      </c>
      <c r="BJ9" s="684"/>
      <c r="BK9" s="669" t="str">
        <f ca="1">Tab_NewTRADER[[#This Row],[ClickTick]]&amp;": "&amp;_xlfn.XLOOKUP(Tab_NewTRADER[[#This Row],[ClickTick]],TabCalc[Ticker],TabCalc[Pile?])</f>
        <v xml:space="preserve">AVGO: </v>
      </c>
      <c r="BL9" s="351" t="s">
        <v>1958</v>
      </c>
      <c r="BM9" s="755" t="str" cm="1">
        <f t="array" aca="1" ref="BM9" ca="1">_xlfn.TEXTJOIN("",,INDEX({"M","A","Y"}, _xlfn.SORTBY({1,2,3}, -CHOOSE({1,2,3}, Tab_NewTRADER[[#This Row],[M]], Tab_NewTRADER[[#This Row],[A]], Tab_NewTRADER[[#This Row],[Agiotage]]))))</f>
        <v>MAY</v>
      </c>
      <c r="BN9" s="909" cm="1">
        <f t="array" aca="1" ref="BN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3.7278523828029879E-3</v>
      </c>
      <c r="BO9" s="679">
        <f ca="1">Tab_NewTRADER[[#This Row],[L_Sn]]*Tab_NewTRADER[[#This Row],[L_Sp]]+Tab_NewTRADER[[#This Row],[SellMore]]*Tab_NewTRADER[[#This Row],[M]]</f>
        <v>128325.24999999999</v>
      </c>
      <c r="BP9" s="679">
        <f ca="1">INDEX(
  INDEX(TabConsolid[], , _xlfn.XMATCH(Tab_NewTRADER[[#This Row],[ClickTick]]&amp;1, TabConsolid[#Headers])),
  MATCH(
    -Tab_NewTRADER[[#This Row],[M]],
    INDEX(TabConsolid[], , _xlfn.XMATCH(Tab_NewTRADER[[#This Row],[ClickTick]]&amp;2, TabConsolid[#Headers])),
    -1
  )
)</f>
        <v>210</v>
      </c>
      <c r="BQ9" s="679" cm="1">
        <f t="array" aca="1" ref="BQ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R9" s="1156">
        <f ca="1">Tab_NewTRADER[[#This Row],[ReBuy]]/(Tab_NewTRADER[[#This Row],[L_Sn]]+Tab_NewTRADER[[#This Row],[SellMore]])</f>
        <v>346.82499999999999</v>
      </c>
      <c r="BS9" s="687">
        <f ca="1">((_xlfn.XLOOKUP(Tab_NewTRADER[[#This Row],[ClickTick]],TabCalc[Ticker],TabCalc[NAfter])+Tab_NewTRADER[[#This Row],[L_Sn]])*(Tab_NewTRADER[[#This Row],[Agiotage]]-Tab_NewTRADER[[#This Row],[M]]))/(Tab_NewTRADER[[#This Row],[L_Sn]]*_xlfn.XLOOKUP(Tab_NewTRADER[[#This Row],[ClickTick]],TabCalc[Ticker],TabCalc[NAfter]))</f>
        <v>-3.0325328847171065</v>
      </c>
      <c r="BT9" s="687">
        <f ca="1">(Tab_NewTRADER[[#This Row],[M]]-Tab_NewTRADER[[#This Row],[Agiotage]])/(Tab_NewTRADER[[#This Row],[M]]-Tab_NewTRADER[[#This Row],[A]])-1</f>
        <v>3.521412108611762</v>
      </c>
      <c r="BU9" s="1277">
        <f ca="1">_xlfn.XMATCH(Tab_NewTRADER[[#This Row],[ClickTick]]&amp;1, TabConsolid[#Headers])</f>
        <v>20</v>
      </c>
      <c r="BV9" t="b">
        <f ca="1">IF(ABS(Tab_NewTRADER[[#This Row],[L_Bp]])&gt;=Tab_NewTRADER[[#This Row],[M]],"OK")</f>
        <v>0</v>
      </c>
    </row>
    <row r="10" spans="1:74"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+7,358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17.4%</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340/500=28,731</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3,003</v>
      </c>
      <c r="F10" s="226" t="str">
        <f ca="1">TRUNC(TabCalc[[#This Row],[L_B1p]],2)&amp;"x"&amp;TabCalc[[#This Row],[L_B1n]]&amp;"=   "&amp;TEXT(TabCalc[[#This Row],[ReverseS1]],"#,#0")&amp;"$"</f>
        <v>-77.67x800=   3,443$</v>
      </c>
      <c r="G10" s="225" t="str">
        <f ca="1">IFERROR(TRUNC(_xlfn.XLOOKUP(Tab_NewTRADER[[#This Row],[ClickTick]],TabCalc[Ticker],ListLastSalep),2)&amp;"x"&amp;_xlfn.XLOOKUP(Tab_NewTRADER[[#This Row],[ClickTick]],TabCalc[Ticker],ListLastSalen)&amp;"=   "&amp;TEXT(-_xlfn.XLOOKUP(Tab_NewTRADER[[#This Row],[ClickTick]],TabCalc[Ticker],ListReverseB),"#,#0")&amp;"$","")</f>
        <v>86.22x500=   -832$</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3,003</v>
      </c>
      <c r="I10" s="226" t="str">
        <f ca="1">IFERROR(TRUNC(TabCalc[[#This Row],[L_S1p]],2)&amp;"x"&amp;TabCalc[[#This Row],[L_S1n]]&amp;"=   "&amp;TEXT(TabCalc[[#This Row],[ReverseB1]],"#,#0"),"")</f>
        <v>79.51x2000=   -10,090</v>
      </c>
      <c r="J10" s="295">
        <f ca="1">_xlfn.XLOOKUP(Tab_NewTRADER[[#This Row],[ClickTick]],TabCalc[Ticker],ListGravity)</f>
        <v>1.1028647625805688</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0.66882833672373876</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0.21069587628865982</v>
      </c>
      <c r="S10" s="683">
        <f ca="1">_xlfn.XLOOKUP(Tab_NewTRADER[[#This Row],[ClickTick]],TabCalc[Ticker],TabCalc[Rev(MinStock)])*(1-Commission)</f>
        <v>7338.3705000000018</v>
      </c>
      <c r="T10" s="782">
        <f ca="1">_xlfn.XLOOKUP(Tab_NewTRADER[[#This Row],[ClickTick]],TabCalc[Ticker],TabCalc[Agiotage])</f>
        <v>0.66882833672373876</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23/23=&gt;0.9% / 0.9%</v>
      </c>
      <c r="V10" s="739" t="str">
        <f ca="1">_xlfn.XLOOKUP(Tab_NewTRADER[[#This Row],[ClickTick]],[1]!RTData[Ticker_Symbol],[1]!RTData[Currency])</f>
        <v>USD</v>
      </c>
      <c r="W10" s="749">
        <f ca="1">_xlfn.XLOOKUP(Tab_NewTRADER[[#This Row],[ClickTick]],TabCalc[Ticker],TabCalc[M])</f>
        <v>84.555000000000007</v>
      </c>
      <c r="X10" s="1343"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^151 / 42 K$</v>
      </c>
      <c r="AE10" s="1195" t="str" cm="1">
        <f t="array" aca="1" ref="AE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0" s="1177" t="str" cm="1">
        <f t="array" aca="1" ref="AF10" ca="1">_xlfn.IFS(       Tab_NewTRADER[[#This Row],[Trap_vs_Last]]=RePurchaseGain,TEXT(Tab_NewTRADER[[#This Row],[L_Sn]],"#,#0")&amp;" x "&amp;TEXT(Tab_NewTRADER[[#This Row],[L_Sp]],"#,#0.#0"),     Tab_NewTRADER[[#This Row],[Trap_vs_Last]]=ReSaleGain,Tab_NewTRADER[[#This Row],[ToSell]],               TRUE,"")</f>
        <v>500 x 86.22</v>
      </c>
      <c r="AG10" s="1177" cm="1">
        <f t="array" aca="1" ref="AG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830.33549999999605</v>
      </c>
      <c r="AH10" s="1370" t="str">
        <f ca="1">TEXT(MIN(Tab_NewTRADER[[#This Row],[L_Bn]],Tab_NewTRADER[[#This Row],[N]]),"#,#0")&amp;" x "&amp;TEXT(Tab_NewTRADER[[#This Row],[L_Bp]],"#,#0.#0")</f>
        <v>500 x -69.84</v>
      </c>
      <c r="AI10" s="1370">
        <f ca="1">IF(Tab_NewTRADER[[#This Row],[M]]&lt;_xlfn.XLOOKUP(Tab_NewTRADER[[#This Row],[ClickTick]],TabCalc[Ticker],TabCalc[Max_Buy_P]), 0,Tab_NewTRADER[[#This Row],[Sale_Back_$]])</f>
        <v>7338.3705000000018</v>
      </c>
      <c r="AJ10" s="1370" t="str">
        <f ca="1">TEXT(Tab_NewTRADER[[#This Row],[L_Sn]],"#,#0")&amp;" ("&amp;Tab_NewTRADER[[#This Row],[M]]&amp;"/"&amp;TEXT(Tab_NewTRADER[[#This Row],[L_Sp]],"#,#0.#0)")</f>
        <v>500 (84.555/86.22)</v>
      </c>
      <c r="AK10" s="1370">
        <f ca="1">IF(Tab_NewTRADER[[#This Row],[M]]&lt;_xlfn.XLOOKUP(Tab_NewTRADER[[#This Row],[ClickTick]],TabCalc[Ticker],TabCalc[Max_Buy_P]), -Tab_NewTRADER[[#This Row],[Buy_Back]], 0)</f>
        <v>0</v>
      </c>
      <c r="AL10" s="1177" t="str" cm="1">
        <f t="array" aca="1" ref="AL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0" s="1177">
        <f ca="1">Tab_NewTRADER[[#This Row],[N]]*(Tab_NewTRADER[[#This Row],[M]]-Tab_NewTRADER[[#This Row],[A]])*(1-Commission)*Tab_NewTRADER[[#This Row],[Scale]]</f>
        <v>7338.3705000000018</v>
      </c>
      <c r="AN10" s="1177">
        <f ca="1">Tab_NewTRADER[[#This Row],[M]]*Tab_NewTRADER[[#This Row],[N]]*(1-Commission)*Tab_NewTRADER[[#This Row],[Scale]]</f>
        <v>42167.578499999996</v>
      </c>
      <c r="AO10" s="1186" cm="1">
        <f t="array" aca="1" ref="AO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1.9311064718162747E-2</v>
      </c>
      <c r="AP10" s="1186" t="str" cm="1">
        <f t="array" aca="1" ref="AP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0" s="825" t="str" cm="1">
        <f t="array" aca="1" ref="AQ10" ca="1">_xlfn.IFS(   Tab_NewTRADER[[#This Row],[Trap_vs_Last]]=SellMorePercentGain,                     MIN(Tab_NewTRADER[[#This Row],[L_Sn]],Tab_NewTRADER[[#This Row],[N]])*(Tab_NewTRADER[[#This Row],[M]]-Tab_NewTRADER[[#This Row],[L_Sp]])*(1-Commission)*Tab_NewTRADER[[#This Row],[Scale]],                    TRUE,"")</f>
        <v/>
      </c>
      <c r="AR10" s="1175">
        <f ca="1">_xlfn.XLOOKUP(Tab_NewTRADER[[#This Row],[ClickTick]],TabCalc[Ticker],TabCalc[Ann%RevLB])</f>
        <v>0.54178939617083954</v>
      </c>
      <c r="AS10" s="1175">
        <f ca="1">_xlfn.XLOOKUP(Tab_NewTRADER[[#This Row],[ClickTick]],TabCalc[Ticker],TabCalc[Up20])</f>
        <v>0</v>
      </c>
      <c r="AT10" s="1187" t="str" cm="1">
        <f t="array" aca="1" ref="AT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0" s="825" t="str" cm="1">
        <f t="array" aca="1" ref="AU10" ca="1">_xlfn.IFS(         Tab_NewTRADER[[#This Row],[Trap_vs_Last]]=MDown,Tab_NewTRADER[[#This Row],[L_Bn]]*Tab_NewTRADER[[#This Row],[M]]*(-(Tab_NewTRADER[[#This Row],[L_Bp]]+Tab_NewTRADER[[#This Row],[M]])/Tab_NewTRADER[[#This Row],[M]])*(1-Commission)*Tab_NewTRADER[[#This Row],[Scale]],                               TRUE,"")</f>
        <v/>
      </c>
      <c r="AV10" s="1186" t="str" cm="1">
        <f t="array" aca="1" ref="AV10" ca="1">_xlfn.IFS(   Tab_NewTRADER[[#This Row],[Trap_vs_Last]]=MUp,Tab_NewTRADER[[#This Row],[TakeGain_A]]-Commission,        Tab_NewTRADER[[#This Row],[Trap_vs_Last]]=MDown,(Tab_NewTRADER[[#This Row],[A]]-Tab_NewTRADER[[#This Row],[M]])/Tab_NewTRADER[[#This Row],[M]]-Commission,                              TRUE,"")</f>
        <v/>
      </c>
      <c r="AW10" s="825" cm="1">
        <f t="array" aca="1" ref="AW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7338.3705000000018</v>
      </c>
      <c r="AX10" s="760" t="str" cm="1">
        <f t="array" aca="1" ref="AX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Y10" s="736" t="str" cm="1">
        <f t="array" aca="1" ref="AY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0" s="765" cm="1">
        <f t="array" aca="1" ref="AZ10" ca="1">_xlfn.IFS(Tab_NewTRADER[[#This Row],[Trap_vs_Last]]=ReSaleGain,"",         Tab_NewTRADER[[#This Row],[Trap_vs_Last]]=MDown, (Tab_NewTRADER[[#This Row],[M]]-Tab_NewTRADER[[#This Row],[A]])/Tab_NewTRADER[[#This Row],[A]]*ComFactor,             TRUE, IFERROR((Tab_NewTRADER[[#This Row],[M]]-Tab_NewTRADER[[#This Row],[A]])/Tab_NewTRADER[[#This Row],[A]]*ComFactor,""))</f>
        <v>0.2101480670103093</v>
      </c>
      <c r="BA10" s="762" cm="1">
        <f t="array" aca="1" ref="BA10" ca="1">_xlfn.IFS(               Tab_NewTRADER[[#This Row],[Trap_vs_Last]]=NoStock,(Tab_NewTRADER[[#This Row],[L_Sp]]-Tab_NewTRADER[[#This Row],[M]])/Tab_NewTRADER[[#This Row],[M]]-Commission,             Tab_NewTRADER[[#This Row],[A]]&lt;&gt;0,(Tab_NewTRADER[[#This Row],[A]]-Tab_NewTRADER[[#This Row],[M]])/Tab_NewTRADER[[#This Row],[M]]-Commission)</f>
        <v>-0.17662873869079299</v>
      </c>
      <c r="BB10" s="324">
        <f ca="1">_xlfn.XLOOKUP(Tab_NewTRADER[[#This Row],[ClickTick]],TabCalc[Ticker],TabCalc[L_Sn])</f>
        <v>500</v>
      </c>
      <c r="BC10" s="728">
        <f ca="1">_xlfn.XLOOKUP(Tab_NewTRADER[[#This Row],[ClickTick]],TabCalc[Ticker],TabCalc[L_Sp])</f>
        <v>86.22</v>
      </c>
      <c r="BD10" s="764">
        <f ca="1">-IFERROR((Tab_NewTRADER[[#This Row],[M]]-Tab_NewTRADER[[#This Row],[L_Sp]])/Tab_NewTRADER[[#This Row],[L_Sp]],0)</f>
        <v>1.9311064718162747E-2</v>
      </c>
      <c r="BE10" s="729">
        <f ca="1">MIN(Tab_NewTRADER[[#This Row],[L_Sn]],Tab_NewTRADER[[#This Row],[N]])*(Tab_NewTRADER[[#This Row],[M]]-Tab_NewTRADER[[#This Row],[L_Sp]])*(1-Commission)*Tab_NewTRADER[[#This Row],[Scale]]</f>
        <v>-830.33549999999605</v>
      </c>
      <c r="BF10" s="692">
        <f ca="1">Tab_NewTRADER[[#This Row],[L_Sn]]*(Tab_NewTRADER[[#This Row],[Agiotage]]-Tab_NewTRADER[[#This Row],[M]])/(Tab_NewTRADER[[#This Row],[L_Bn]]*Tab_NewTRADER[[#This Row],[M]])</f>
        <v>-0.12401125253278379</v>
      </c>
      <c r="BG10" s="635">
        <f ca="1">IFERROR((Tab_NewTRADER[[#This Row],[M]]-Tab_NewTRADER[[#This Row],[A]])/Tab_NewTRADER[[#This Row],[A]],0)</f>
        <v>0.21069587628865982</v>
      </c>
      <c r="BH10" s="638" t="str">
        <f ca="1">TEXT(_xlfn.XLOOKUP(Tab_NewTRADER[[#This Row],[ClickTick]],TabCalc[Ticker],TabCalc[NAfter]),"#,#0")&amp;" : "&amp;TEXT(_xlfn.XLOOKUP(Tab_NewTRADER[[#This Row],[ClickTick]],TabCalc[Ticker],TabCalc[NAfter])*(Tab_NewTRADER[[#This Row],[M]]-Tab_NewTRADER[[#This Row],[A]])*(1-Commission)*Tab_NewTRADER[[#This Row],[Scale]],"#,#0$")</f>
        <v>500 : 7,338$</v>
      </c>
      <c r="BI10" s="684">
        <f ca="1">_xlfn.XLOOKUP(Tab_NewTRADER[[#This Row],[ClickTick]],TabCalc[[#This Row],[Ticker]],TabCalc[[#This Row],[GL]])*(1-Commission)</f>
        <v>150220.30905999997</v>
      </c>
      <c r="BJ10" s="684"/>
      <c r="BK10" s="669" t="str">
        <f ca="1">Tab_NewTRADER[[#This Row],[ClickTick]]&amp;": "&amp;_xlfn.XLOOKUP(Tab_NewTRADER[[#This Row],[ClickTick]],TabCalc[Ticker],TabCalc[Pile?])</f>
        <v>AZN: Pile</v>
      </c>
      <c r="BL10" s="351" t="s">
        <v>1998</v>
      </c>
      <c r="BM10" s="755" t="str" cm="1">
        <f t="array" aca="1" ref="BM10" ca="1">_xlfn.TEXTJOIN("",,INDEX({"M","A","Y"}, _xlfn.SORTBY({1,2,3}, -CHOOSE({1,2,3}, Tab_NewTRADER[[#This Row],[M]], Tab_NewTRADER[[#This Row],[A]], Tab_NewTRADER[[#This Row],[Agiotage]]))))</f>
        <v>MAY</v>
      </c>
      <c r="BN10" s="909" t="str" cm="1">
        <f t="array" aca="1" ref="BN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0" s="679">
        <f ca="1">Tab_NewTRADER[[#This Row],[L_Sn]]*Tab_NewTRADER[[#This Row],[L_Sp]]+Tab_NewTRADER[[#This Row],[SellMore]]*Tab_NewTRADER[[#This Row],[M]]</f>
        <v>85387.5</v>
      </c>
      <c r="BP10" s="679">
        <f ca="1">INDEX(
  INDEX(TabConsolid[], , _xlfn.XMATCH(Tab_NewTRADER[[#This Row],[ClickTick]]&amp;1, TabConsolid[#Headers])),
  MATCH(
    -Tab_NewTRADER[[#This Row],[M]],
    INDEX(TabConsolid[], , _xlfn.XMATCH(Tab_NewTRADER[[#This Row],[ClickTick]]&amp;2, TabConsolid[#Headers])),
    -1
  )
)</f>
        <v>500</v>
      </c>
      <c r="BQ10" s="679" cm="1">
        <f t="array" aca="1" ref="BQ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0" s="1156">
        <f ca="1">Tab_NewTRADER[[#This Row],[ReBuy]]/(Tab_NewTRADER[[#This Row],[L_Sn]]+Tab_NewTRADER[[#This Row],[SellMore]])</f>
        <v>85.387500000000003</v>
      </c>
      <c r="BS10" s="687">
        <f ca="1">((_xlfn.XLOOKUP(Tab_NewTRADER[[#This Row],[ClickTick]],TabCalc[Ticker],TabCalc[NAfter])+Tab_NewTRADER[[#This Row],[L_Sn]])*(Tab_NewTRADER[[#This Row],[Agiotage]]-Tab_NewTRADER[[#This Row],[M]]))/(Tab_NewTRADER[[#This Row],[L_Sn]]*_xlfn.XLOOKUP(Tab_NewTRADER[[#This Row],[ClickTick]],TabCalc[Ticker],TabCalc[NAfter]))</f>
        <v>-0.33554468665310505</v>
      </c>
      <c r="BT10" s="687">
        <f ca="1">(Tab_NewTRADER[[#This Row],[M]]-Tab_NewTRADER[[#This Row],[Agiotage]])/(Tab_NewTRADER[[#This Row],[M]]-Tab_NewTRADER[[#This Row],[A]])-1</f>
        <v>4.7007252234642376</v>
      </c>
      <c r="BU10" s="1277">
        <f ca="1">_xlfn.XMATCH(Tab_NewTRADER[[#This Row],[ClickTick]]&amp;1, TabConsolid[#Headers])</f>
        <v>23</v>
      </c>
      <c r="BV10" t="b">
        <f ca="1">IF(ABS(Tab_NewTRADER[[#This Row],[L_Bp]])&gt;=Tab_NewTRADER[[#This Row],[M]],"OK")</f>
        <v>0</v>
      </c>
    </row>
    <row r="11" spans="1:74"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+3,810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18.2%</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6" t="str">
        <f ca="1">TRUNC(TabCalc[[#This Row],[L_B1p]],2)&amp;"x"&amp;TabCalc[[#This Row],[L_B1n]]&amp;"=   "&amp;TEXT(TabCalc[[#This Row],[ReverseS1]],"#,#0")&amp;"$"</f>
        <v>-1.83x10000=   16,550$</v>
      </c>
      <c r="G11" s="225" t="str">
        <f ca="1">IFERROR(TRUNC(_xlfn.XLOOKUP(Tab_NewTRADER[[#This Row],[ClickTick]],TabCalc[Ticker],ListLastSalep),2)&amp;"x"&amp;_xlfn.XLOOKUP(Tab_NewTRADER[[#This Row],[ClickTick]],TabCalc[Ticker],ListLastSalen)&amp;"=   "&amp;TEXT(-_xlfn.XLOOKUP(Tab_NewTRADER[[#This Row],[ClickTick]],TabCalc[Ticker],ListReverseB),"#,#0")&amp;"$","")</f>
        <v>3.35x6000=   809$</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0</v>
      </c>
      <c r="I11" s="226" t="str">
        <f ca="1">IFERROR(TRUNC(TabCalc[[#This Row],[L_S1p]],2)&amp;"x"&amp;TabCalc[[#This Row],[L_S1n]]&amp;"=   "&amp;TEXT(TabCalc[[#This Row],[ReverseB1]],"#,#0"),"")</f>
        <v>1.96x10000=   -15,250</v>
      </c>
      <c r="J11" s="295">
        <f ca="1">_xlfn.XLOOKUP(Tab_NewTRADER[[#This Row],[ClickTick]],TabCalc[Ticker],ListGravity)</f>
        <v>0.78909612625538028</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34850</v>
      </c>
      <c r="M11" s="323">
        <f ca="1">_xlfn.XLOOKUP(Tab_NewTRADER[[#This Row],[ClickTick]],TabCalc[Ticker],TabCalc[Agiotage])</f>
        <v>0.67292193067776529</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0.22280701754385956</v>
      </c>
      <c r="S11" s="683">
        <f ca="1">_xlfn.XLOOKUP(Tab_NewTRADER[[#This Row],[ClickTick]],TabCalc[Ticker],TabCalc[Rev(MinStock)])*(1-Commission)</f>
        <v>3800.0939999999987</v>
      </c>
      <c r="T11" s="782">
        <f ca="1">_xlfn.XLOOKUP(Tab_NewTRADER[[#This Row],[ClickTick]],TabCalc[Ticker],TabCalc[Agiotage])</f>
        <v>0.67292193067776529</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1,500/1,500=&gt;-1.8% / -1.8%</v>
      </c>
      <c r="V11" s="739" t="str">
        <f ca="1">_xlfn.XLOOKUP(Tab_NewTRADER[[#This Row],[ClickTick]],[1]!RTData[Ticker_Symbol],[1]!RTData[Currency])</f>
        <v>USD</v>
      </c>
      <c r="W11" s="749">
        <f ca="1">_xlfn.XLOOKUP(Tab_NewTRADER[[#This Row],[ClickTick]],TabCalc[Ticker],TabCalc[M])</f>
        <v>3.4849999999999999</v>
      </c>
      <c r="X11" s="1343"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 / 70 K$</v>
      </c>
      <c r="AE11" s="1195" t="str" cm="1">
        <f t="array" aca="1" ref="AE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1" s="1177" t="str" cm="1">
        <f t="array" aca="1" ref="AF11" ca="1">_xlfn.IFS(       Tab_NewTRADER[[#This Row],[Trap_vs_Last]]=RePurchaseGain,TEXT(Tab_NewTRADER[[#This Row],[L_Sn]],"#,#0")&amp;" x "&amp;TEXT(Tab_NewTRADER[[#This Row],[L_Sp]],"#,#0.#0"),     Tab_NewTRADER[[#This Row],[Trap_vs_Last]]=ReSaleGain,Tab_NewTRADER[[#This Row],[ToSell]],               TRUE,"")</f>
        <v/>
      </c>
      <c r="AG11" s="1177" t="str" cm="1">
        <f t="array" aca="1" ref="AG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6,000 x 3.35</v>
      </c>
      <c r="AH11" s="1370" t="str">
        <f ca="1">TEXT(MIN(Tab_NewTRADER[[#This Row],[L_Bn]],Tab_NewTRADER[[#This Row],[N]]),"#,#0")&amp;" x "&amp;TEXT(Tab_NewTRADER[[#This Row],[L_Bp]],"#,#0.#0")</f>
        <v>6,000 x -2.85</v>
      </c>
      <c r="AI11" s="1370">
        <f ca="1">IF(Tab_NewTRADER[[#This Row],[M]]&lt;_xlfn.XLOOKUP(Tab_NewTRADER[[#This Row],[ClickTick]],TabCalc[Ticker],TabCalc[Max_Buy_P]), 0,Tab_NewTRADER[[#This Row],[Sale_Back_$]])</f>
        <v>3800.0939999999987</v>
      </c>
      <c r="AJ11" s="1370" t="str">
        <f ca="1">TEXT(Tab_NewTRADER[[#This Row],[L_Sn]],"#,#0")&amp;" ("&amp;Tab_NewTRADER[[#This Row],[M]]&amp;"/"&amp;TEXT(Tab_NewTRADER[[#This Row],[L_Sp]],"#,#0.#0)")</f>
        <v>6,000 (3.485/3.35)</v>
      </c>
      <c r="AK11" s="1370">
        <f ca="1">IF(Tab_NewTRADER[[#This Row],[M]]&lt;_xlfn.XLOOKUP(Tab_NewTRADER[[#This Row],[ClickTick]],TabCalc[Ticker],TabCalc[Max_Buy_P]), -Tab_NewTRADER[[#This Row],[Buy_Back]], 0)</f>
        <v>0</v>
      </c>
      <c r="AL11" s="1177" cm="1">
        <f t="array" aca="1" ref="AL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807.29556000000002</v>
      </c>
      <c r="AM11" s="760">
        <f ca="1">Tab_NewTRADER[[#This Row],[N]]*(Tab_NewTRADER[[#This Row],[M]]-Tab_NewTRADER[[#This Row],[A]])*(1-Commission)*Tab_NewTRADER[[#This Row],[Scale]]</f>
        <v>26750.267999999996</v>
      </c>
      <c r="AN11" s="760">
        <f ca="1">Tab_NewTRADER[[#This Row],[M]]*Tab_NewTRADER[[#This Row],[N]]*(1-Commission)*Tab_NewTRADER[[#This Row],[Scale]]</f>
        <v>69518.78</v>
      </c>
      <c r="AO11" s="1186" cm="1">
        <f t="array" aca="1" ref="AO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0.62546641791044766</v>
      </c>
      <c r="AP11" s="1186" cm="1">
        <f t="array" aca="1" ref="AP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3.6108751793400298E-2</v>
      </c>
      <c r="AQ11" s="825" cm="1">
        <f t="array" aca="1" ref="AQ11" ca="1">_xlfn.IFS(   Tab_NewTRADER[[#This Row],[Trap_vs_Last]]=SellMorePercentGain,                     MIN(Tab_NewTRADER[[#This Row],[L_Sn]],Tab_NewTRADER[[#This Row],[N]])*(Tab_NewTRADER[[#This Row],[M]]-Tab_NewTRADER[[#This Row],[L_Sp]])*(1-Commission)*Tab_NewTRADER[[#This Row],[Scale]],                    TRUE,"")</f>
        <v>807.29556000000002</v>
      </c>
      <c r="AR11" s="1175">
        <f ca="1">_xlfn.XLOOKUP(Tab_NewTRADER[[#This Row],[ClickTick]],TabCalc[Ticker],TabCalc[Ann%RevLB])</f>
        <v>0.2638504155124653</v>
      </c>
      <c r="AS11" s="1282">
        <f ca="1">_xlfn.XLOOKUP(Tab_NewTRADER[[#This Row],[ClickTick]],TabCalc[Ticker],TabCalc[Up20])</f>
        <v>0</v>
      </c>
      <c r="AT11" s="1187" t="str" cm="1">
        <f t="array" aca="1" ref="AT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11" s="825" t="str" cm="1">
        <f t="array" aca="1" ref="AU11" ca="1">_xlfn.IFS(         Tab_NewTRADER[[#This Row],[Trap_vs_Last]]=MDown,Tab_NewTRADER[[#This Row],[L_Bn]]*Tab_NewTRADER[[#This Row],[M]]*(-(Tab_NewTRADER[[#This Row],[L_Bp]]+Tab_NewTRADER[[#This Row],[M]])/Tab_NewTRADER[[#This Row],[M]])*(1-Commission)*Tab_NewTRADER[[#This Row],[Scale]],                               TRUE,"")</f>
        <v/>
      </c>
      <c r="AV11" s="1186" cm="1">
        <f t="array" aca="1" ref="AV11" ca="1">_xlfn.IFS(   Tab_NewTRADER[[#This Row],[Trap_vs_Last]]=MUp,Tab_NewTRADER[[#This Row],[TakeGain_A]]-Commission,        Tab_NewTRADER[[#This Row],[Trap_vs_Last]]=MDown,(Tab_NewTRADER[[#This Row],[A]]-Tab_NewTRADER[[#This Row],[M]])/Tab_NewTRADER[[#This Row],[M]]-Commission,                              TRUE,"")</f>
        <v>0.62286641791044761</v>
      </c>
      <c r="AW11" s="760" cm="1">
        <f t="array" aca="1" ref="AW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43481.662304104466</v>
      </c>
      <c r="AX11" s="760" t="str" cm="1">
        <f t="array" aca="1" ref="AX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Y11" s="736" t="str" cm="1">
        <f t="array" aca="1" ref="AY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6,000x1.34</v>
      </c>
      <c r="AZ11" s="765" cm="1">
        <f t="array" aca="1" ref="AZ11" ca="1">_xlfn.IFS(Tab_NewTRADER[[#This Row],[Trap_vs_Last]]=ReSaleGain,"",         Tab_NewTRADER[[#This Row],[Trap_vs_Last]]=MDown, (Tab_NewTRADER[[#This Row],[M]]-Tab_NewTRADER[[#This Row],[A]])/Tab_NewTRADER[[#This Row],[A]]*ComFactor,             TRUE, IFERROR((Tab_NewTRADER[[#This Row],[M]]-Tab_NewTRADER[[#This Row],[A]])/Tab_NewTRADER[[#This Row],[A]]*ComFactor,""))</f>
        <v>0.62384020522388051</v>
      </c>
      <c r="BA11" s="762" cm="1">
        <f t="array" aca="1" ref="BA11" ca="1">_xlfn.IFS(               Tab_NewTRADER[[#This Row],[Trap_vs_Last]]=NoStock,(Tab_NewTRADER[[#This Row],[L_Sp]]-Tab_NewTRADER[[#This Row],[M]])/Tab_NewTRADER[[#This Row],[M]]-Commission,             Tab_NewTRADER[[#This Row],[A]]&lt;&gt;0,(Tab_NewTRADER[[#This Row],[A]]-Tab_NewTRADER[[#This Row],[M]])/Tab_NewTRADER[[#This Row],[M]]-Commission)</f>
        <v>-0.3873919655667144</v>
      </c>
      <c r="BB11" s="324">
        <f ca="1">_xlfn.XLOOKUP(Tab_NewTRADER[[#This Row],[ClickTick]],TabCalc[Ticker],TabCalc[L_Sn])</f>
        <v>6000</v>
      </c>
      <c r="BC11" s="728">
        <f ca="1">_xlfn.XLOOKUP(Tab_NewTRADER[[#This Row],[ClickTick]],TabCalc[Ticker],TabCalc[L_Sp])</f>
        <v>3.3500999999999999</v>
      </c>
      <c r="BD11" s="764">
        <f ca="1">-IFERROR((Tab_NewTRADER[[#This Row],[M]]-Tab_NewTRADER[[#This Row],[L_Sp]])/Tab_NewTRADER[[#This Row],[L_Sp]],0)</f>
        <v>-4.02674547028447E-2</v>
      </c>
      <c r="BE11" s="729">
        <f ca="1">MIN(Tab_NewTRADER[[#This Row],[L_Sn]],Tab_NewTRADER[[#This Row],[N]])*(Tab_NewTRADER[[#This Row],[M]]-Tab_NewTRADER[[#This Row],[L_Sp]])*(1-Commission)*Tab_NewTRADER[[#This Row],[Scale]]</f>
        <v>807.29556000000002</v>
      </c>
      <c r="BF11" s="692">
        <f ca="1">Tab_NewTRADER[[#This Row],[L_Sn]]*(Tab_NewTRADER[[#This Row],[Agiotage]]-Tab_NewTRADER[[#This Row],[M]])/(Tab_NewTRADER[[#This Row],[L_Bn]]*Tab_NewTRADER[[#This Row],[M]])</f>
        <v>-0.8069090586290486</v>
      </c>
      <c r="BG11" s="635">
        <f ca="1">IFERROR((Tab_NewTRADER[[#This Row],[M]]-Tab_NewTRADER[[#This Row],[A]])/Tab_NewTRADER[[#This Row],[A]],0)</f>
        <v>0.62546641791044766</v>
      </c>
      <c r="BH11" s="638" t="str">
        <f ca="1">TEXT(_xlfn.XLOOKUP(Tab_NewTRADER[[#This Row],[ClickTick]],TabCalc[Ticker],TabCalc[NAfter]),"#,#0")&amp;" : "&amp;TEXT(_xlfn.XLOOKUP(Tab_NewTRADER[[#This Row],[ClickTick]],TabCalc[Ticker],TabCalc[NAfter])*(Tab_NewTRADER[[#This Row],[M]]-Tab_NewTRADER[[#This Row],[A]])*(1-Commission)*Tab_NewTRADER[[#This Row],[Scale]],"#,#0$")</f>
        <v>20,000 : 26,750$</v>
      </c>
      <c r="BI11" s="684">
        <f ca="1">_xlfn.XLOOKUP(Tab_NewTRADER[[#This Row],[ClickTick]],TabCalc[[#This Row],[Ticker]],TabCalc[[#This Row],[GL]])*(1-Commission)</f>
        <v>37917.342918999988</v>
      </c>
      <c r="BJ11" s="684"/>
      <c r="BK11" s="669" t="str">
        <f ca="1">Tab_NewTRADER[[#This Row],[ClickTick]]&amp;": "&amp;_xlfn.XLOOKUP(Tab_NewTRADER[[#This Row],[ClickTick]],TabCalc[Ticker],TabCalc[Pile?])</f>
        <v xml:space="preserve">BLDP: </v>
      </c>
      <c r="BL11" s="351" t="s">
        <v>2064</v>
      </c>
      <c r="BM11" s="755" t="str" cm="1">
        <f t="array" aca="1" ref="BM11" ca="1">_xlfn.TEXTJOIN("",,INDEX({"M","A","Y"}, _xlfn.SORTBY({1,2,3}, -CHOOSE({1,2,3}, Tab_NewTRADER[[#This Row],[M]], Tab_NewTRADER[[#This Row],[A]], Tab_NewTRADER[[#This Row],[Agiotage]]))))</f>
        <v>MAY</v>
      </c>
      <c r="BN11" s="909" cm="1">
        <f t="array" aca="1" ref="BN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3.8708751793400296E-2</v>
      </c>
      <c r="BO11" s="679">
        <f ca="1">Tab_NewTRADER[[#This Row],[L_Sn]]*Tab_NewTRADER[[#This Row],[L_Sp]]+Tab_NewTRADER[[#This Row],[SellMore]]*Tab_NewTRADER[[#This Row],[M]]</f>
        <v>41010.6</v>
      </c>
      <c r="BP11" s="679">
        <f ca="1">INDEX(
  INDEX(TabConsolid[], , _xlfn.XMATCH(Tab_NewTRADER[[#This Row],[ClickTick]]&amp;1, TabConsolid[#Headers])),
  MATCH(
    -Tab_NewTRADER[[#This Row],[M]],
    INDEX(TabConsolid[], , _xlfn.XMATCH(Tab_NewTRADER[[#This Row],[ClickTick]]&amp;2, TabConsolid[#Headers])),
    -1
  )
)</f>
        <v>6000</v>
      </c>
      <c r="BQ11" s="679" cm="1">
        <f t="array" aca="1" ref="BQ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11" s="1156">
        <f ca="1">Tab_NewTRADER[[#This Row],[ReBuy]]/(Tab_NewTRADER[[#This Row],[L_Sn]]+Tab_NewTRADER[[#This Row],[SellMore]])</f>
        <v>3.4175499999999999</v>
      </c>
      <c r="BS11" s="687">
        <f ca="1">((_xlfn.XLOOKUP(Tab_NewTRADER[[#This Row],[ClickTick]],TabCalc[Ticker],TabCalc[NAfter])+Tab_NewTRADER[[#This Row],[L_Sn]])*(Tab_NewTRADER[[#This Row],[Agiotage]]-Tab_NewTRADER[[#This Row],[M]]))/(Tab_NewTRADER[[#This Row],[L_Sn]]*_xlfn.XLOOKUP(Tab_NewTRADER[[#This Row],[ClickTick]],TabCalc[Ticker],TabCalc[NAfter]))</f>
        <v>-6.092835816864842E-4</v>
      </c>
      <c r="BT11" s="687">
        <f ca="1">(Tab_NewTRADER[[#This Row],[M]]-Tab_NewTRADER[[#This Row],[Agiotage]])/(Tab_NewTRADER[[#This Row],[M]]-Tab_NewTRADER[[#This Row],[A]])-1</f>
        <v>1.0970007974065887</v>
      </c>
      <c r="BU11" s="1277">
        <f ca="1">_xlfn.XMATCH(Tab_NewTRADER[[#This Row],[ClickTick]]&amp;1, TabConsolid[#Headers])</f>
        <v>26</v>
      </c>
      <c r="BV11" t="b">
        <f ca="1">IF(ABS(Tab_NewTRADER[[#This Row],[L_Bp]])&gt;=Tab_NewTRADER[[#This Row],[M]],"OK")</f>
        <v>0</v>
      </c>
    </row>
    <row r="12" spans="1:74"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-127,776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-409.3%</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0.11485061080312024</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-0.80364948583288776</v>
      </c>
      <c r="S12" s="683">
        <f ca="1">_xlfn.XLOOKUP(Tab_NewTRADER[[#This Row],[ClickTick]],TabCalc[Ticker],TabCalc[Rev(MinStock)])*(1-Commission)</f>
        <v>-127444.03174999998</v>
      </c>
      <c r="T12" s="782">
        <f ca="1">_xlfn.XLOOKUP(Tab_NewTRADER[[#This Row],[ClickTick]],TabCalc[Ticker],TabCalc[Agiotage])</f>
        <v>0.11485061080312024</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344/344=&gt;-2.1% / -2.1%</v>
      </c>
      <c r="V12" s="739" t="str">
        <f ca="1">_xlfn.XLOOKUP(Tab_NewTRADER[[#This Row],[ClickTick]],[1]!RTData[Ticker_Symbol],[1]!RTData[Currency])</f>
        <v>USD</v>
      </c>
      <c r="W12" s="749">
        <f ca="1">_xlfn.XLOOKUP(Tab_NewTRADER[[#This Row],[ClickTick]],TabCalc[Ticker],TabCalc[M])</f>
        <v>2.4975000000000001</v>
      </c>
      <c r="X12" s="1343"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E12" s="1195" t="str" cm="1">
        <f t="array" aca="1" ref="AE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2" s="1177" t="str" cm="1">
        <f t="array" aca="1" ref="AF12" ca="1">_xlfn.IFS(       Tab_NewTRADER[[#This Row],[Trap_vs_Last]]=RePurchaseGain,TEXT(Tab_NewTRADER[[#This Row],[L_Sn]],"#,#0")&amp;" x "&amp;TEXT(Tab_NewTRADER[[#This Row],[L_Sp]],"#,#0.#0"),     Tab_NewTRADER[[#This Row],[Trap_vs_Last]]=ReSaleGain,Tab_NewTRADER[[#This Row],[ToSell]],               TRUE,"")</f>
        <v/>
      </c>
      <c r="AG12" s="1177" t="str" cm="1">
        <f t="array" aca="1" ref="AG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H12" s="1370" t="str">
        <f ca="1">TEXT(MIN(Tab_NewTRADER[[#This Row],[L_Bn]],Tab_NewTRADER[[#This Row],[N]]),"#,#0")&amp;" x "&amp;TEXT(Tab_NewTRADER[[#This Row],[L_Bp]],"#,#0.#0")</f>
        <v>12,500 x -12.72</v>
      </c>
      <c r="AI12" s="1370">
        <f ca="1">IF(Tab_NewTRADER[[#This Row],[M]]&lt;_xlfn.XLOOKUP(Tab_NewTRADER[[#This Row],[ClickTick]],TabCalc[Ticker],TabCalc[Max_Buy_P]), 0,Tab_NewTRADER[[#This Row],[Sale_Back_$]])</f>
        <v>0</v>
      </c>
      <c r="AJ12" s="1370" t="str">
        <f ca="1">TEXT(Tab_NewTRADER[[#This Row],[L_Sn]],"#,#0")&amp;" ("&amp;Tab_NewTRADER[[#This Row],[M]]&amp;"/"&amp;TEXT(Tab_NewTRADER[[#This Row],[L_Sp]],"#,#0.#0)")</f>
        <v>0 (2.4975/0.0)</v>
      </c>
      <c r="AK12" s="1370">
        <f ca="1">IF(Tab_NewTRADER[[#This Row],[M]]&lt;_xlfn.XLOOKUP(Tab_NewTRADER[[#This Row],[ClickTick]],TabCalc[Ticker],TabCalc[Max_Buy_P]), -Tab_NewTRADER[[#This Row],[Buy_Back]], 0)</f>
        <v>0</v>
      </c>
      <c r="AL12" s="1177" cm="1">
        <f t="array" aca="1" ref="AL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127444.03174999998</v>
      </c>
      <c r="AM12" s="1177">
        <f ca="1">Tab_NewTRADER[[#This Row],[N]]*(Tab_NewTRADER[[#This Row],[M]]-Tab_NewTRADER[[#This Row],[A]])*(1-Commission)*Tab_NewTRADER[[#This Row],[Scale]]</f>
        <v>-127444.03174999998</v>
      </c>
      <c r="AN12" s="1177">
        <f ca="1">Tab_NewTRADER[[#This Row],[M]]*Tab_NewTRADER[[#This Row],[N]]*(1-Commission)*Tab_NewTRADER[[#This Row],[Scale]]</f>
        <v>31137.581249999999</v>
      </c>
      <c r="AO12" s="1186" cm="1">
        <f t="array" aca="1" ref="AO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0.80364948583288776</v>
      </c>
      <c r="AP12" s="1186" cm="1">
        <f t="array" aca="1" ref="AP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4.0903329329329328</v>
      </c>
      <c r="AQ12" s="825" t="str" cm="1">
        <f t="array" aca="1" ref="AQ12" ca="1">_xlfn.IFS(   Tab_NewTRADER[[#This Row],[Trap_vs_Last]]=SellMorePercentGain,                     MIN(Tab_NewTRADER[[#This Row],[L_Sn]],Tab_NewTRADER[[#This Row],[N]])*(Tab_NewTRADER[[#This Row],[M]]-Tab_NewTRADER[[#This Row],[L_Sp]])*(1-Commission)*Tab_NewTRADER[[#This Row],[Scale]],                    TRUE,"")</f>
        <v/>
      </c>
      <c r="AR12" s="1175">
        <f ca="1">_xlfn.XLOOKUP(Tab_NewTRADER[[#This Row],[ClickTick]],TabCalc[Ticker],TabCalc[Ann%RevLB])</f>
        <v>-5.3339567643775732E-2</v>
      </c>
      <c r="AS12" s="1282">
        <f ca="1">_xlfn.XLOOKUP(Tab_NewTRADER[[#This Row],[ClickTick]],TabCalc[Ticker],TabCalc[Up20])</f>
        <v>0.66666666666666663</v>
      </c>
      <c r="AT12" s="1187" cm="1">
        <f t="array" aca="1" ref="AT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4.0929329329329329</v>
      </c>
      <c r="AU12" s="825" cm="1">
        <f t="array" aca="1" ref="AU12" ca="1">_xlfn.IFS(         Tab_NewTRADER[[#This Row],[Trap_vs_Last]]=MDown,Tab_NewTRADER[[#This Row],[L_Bn]]*Tab_NewTRADER[[#This Row],[M]]*(-(Tab_NewTRADER[[#This Row],[L_Bp]]+Tab_NewTRADER[[#This Row],[M]])/Tab_NewTRADER[[#This Row],[M]])*(1-Commission)*Tab_NewTRADER[[#This Row],[Scale]],                               TRUE,"")</f>
        <v>127444.03174999999</v>
      </c>
      <c r="AV12" s="1186" cm="1">
        <f t="array" aca="1" ref="AV12" ca="1">_xlfn.IFS(   Tab_NewTRADER[[#This Row],[Trap_vs_Last]]=MUp,Tab_NewTRADER[[#This Row],[TakeGain_A]]-Commission,        Tab_NewTRADER[[#This Row],[Trap_vs_Last]]=MDown,(Tab_NewTRADER[[#This Row],[A]]-Tab_NewTRADER[[#This Row],[M]])/Tab_NewTRADER[[#This Row],[M]]-Commission,                              TRUE,"")</f>
        <v>4.0903329329329328</v>
      </c>
      <c r="AW12" s="825" cm="1">
        <f t="array" aca="1" ref="AW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127444.03174999998</v>
      </c>
      <c r="AX12" s="760" t="str" cm="1">
        <f t="array" aca="1" ref="AX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12" s="736" cm="1">
        <f t="array" aca="1" ref="AY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-10.220000000000001</v>
      </c>
      <c r="AZ12" s="765" cm="1">
        <f t="array" aca="1" ref="AZ12" ca="1">_xlfn.IFS(Tab_NewTRADER[[#This Row],[Trap_vs_Last]]=ReSaleGain,"",         Tab_NewTRADER[[#This Row],[Trap_vs_Last]]=MDown, (Tab_NewTRADER[[#This Row],[M]]-Tab_NewTRADER[[#This Row],[A]])/Tab_NewTRADER[[#This Row],[A]]*ComFactor,             TRUE, IFERROR((Tab_NewTRADER[[#This Row],[M]]-Tab_NewTRADER[[#This Row],[A]])/Tab_NewTRADER[[#This Row],[A]]*ComFactor,""))</f>
        <v>-0.80155999716972226</v>
      </c>
      <c r="BA12" s="762" cm="1">
        <f t="array" aca="1" ref="BA12" ca="1">_xlfn.IFS(               Tab_NewTRADER[[#This Row],[Trap_vs_Last]]=NoStock,(Tab_NewTRADER[[#This Row],[L_Sp]]-Tab_NewTRADER[[#This Row],[M]])/Tab_NewTRADER[[#This Row],[M]]-Commission,             Tab_NewTRADER[[#This Row],[A]]&lt;&gt;0,(Tab_NewTRADER[[#This Row],[A]]-Tab_NewTRADER[[#This Row],[M]])/Tab_NewTRADER[[#This Row],[M]]-Commission)</f>
        <v>4.0903329329329328</v>
      </c>
      <c r="BB12" s="324">
        <f ca="1">_xlfn.XLOOKUP(Tab_NewTRADER[[#This Row],[ClickTick]],TabCalc[Ticker],TabCalc[L_Sn])</f>
        <v>0</v>
      </c>
      <c r="BC12" s="728">
        <f ca="1">_xlfn.XLOOKUP(Tab_NewTRADER[[#This Row],[ClickTick]],TabCalc[Ticker],TabCalc[L_Sp])</f>
        <v>0</v>
      </c>
      <c r="BD12" s="764">
        <f ca="1">-IFERROR((Tab_NewTRADER[[#This Row],[M]]-Tab_NewTRADER[[#This Row],[L_Sp]])/Tab_NewTRADER[[#This Row],[L_Sp]],0)</f>
        <v>0</v>
      </c>
      <c r="BE12" s="729">
        <f ca="1">MIN(Tab_NewTRADER[[#This Row],[L_Sn]],Tab_NewTRADER[[#This Row],[N]])*(Tab_NewTRADER[[#This Row],[M]]-Tab_NewTRADER[[#This Row],[L_Sp]])*(1-Commission)*Tab_NewTRADER[[#This Row],[Scale]]</f>
        <v>0</v>
      </c>
      <c r="BF12" s="692">
        <f ca="1">Tab_NewTRADER[[#This Row],[L_Sn]]*(Tab_NewTRADER[[#This Row],[Agiotage]]-Tab_NewTRADER[[#This Row],[M]])/(Tab_NewTRADER[[#This Row],[L_Bn]]*Tab_NewTRADER[[#This Row],[M]])</f>
        <v>0</v>
      </c>
      <c r="BG12" s="635">
        <f ca="1">IFERROR((Tab_NewTRADER[[#This Row],[M]]-Tab_NewTRADER[[#This Row],[A]])/Tab_NewTRADER[[#This Row],[A]],0)</f>
        <v>-0.80364948583288776</v>
      </c>
      <c r="BH12" s="638" t="str">
        <f ca="1">TEXT(_xlfn.XLOOKUP(Tab_NewTRADER[[#This Row],[ClickTick]],TabCalc[Ticker],TabCalc[NAfter]),"#,#0")&amp;" : "&amp;TEXT(_xlfn.XLOOKUP(Tab_NewTRADER[[#This Row],[ClickTick]],TabCalc[Ticker],TabCalc[NAfter])*(Tab_NewTRADER[[#This Row],[M]]-Tab_NewTRADER[[#This Row],[A]])*(1-Commission)*Tab_NewTRADER[[#This Row],[Scale]],"#,#0$")</f>
        <v>12,500 : -127,444$</v>
      </c>
      <c r="BI12" s="684">
        <f ca="1">_xlfn.XLOOKUP(Tab_NewTRADER[[#This Row],[ClickTick]],TabCalc[[#This Row],[Ticker]],TabCalc[[#This Row],[GL]])*(1-Commission)</f>
        <v>-127444.03174999999</v>
      </c>
      <c r="BJ12" s="684"/>
      <c r="BK12" s="669" t="str">
        <f ca="1">Tab_NewTRADER[[#This Row],[ClickTick]]&amp;": "&amp;_xlfn.XLOOKUP(Tab_NewTRADER[[#This Row],[ClickTick]],TabCalc[Ticker],TabCalc[Pile?])</f>
        <v>BMRA: Pile</v>
      </c>
      <c r="BL12" s="351" t="s">
        <v>2049</v>
      </c>
      <c r="BM12" s="755" t="str" cm="1">
        <f t="array" aca="1" ref="BM12" ca="1">_xlfn.TEXTJOIN("",,INDEX({"M","A","Y"}, _xlfn.SORTBY({1,2,3}, -CHOOSE({1,2,3}, Tab_NewTRADER[[#This Row],[M]], Tab_NewTRADER[[#This Row],[A]], Tab_NewTRADER[[#This Row],[Agiotage]]))))</f>
        <v>AMY</v>
      </c>
      <c r="BN12" s="909" cm="1">
        <f t="array" aca="1" ref="BN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4.0929329329329329</v>
      </c>
      <c r="BO12" s="679" t="e">
        <f ca="1">Tab_NewTRADER[[#This Row],[L_Sn]]*Tab_NewTRADER[[#This Row],[L_Sp]]+Tab_NewTRADER[[#This Row],[SellMore]]*Tab_NewTRADER[[#This Row],[M]]</f>
        <v>#N/A</v>
      </c>
      <c r="BP12" s="679" t="e">
        <f ca="1">INDEX(
  INDEX(TabConsolid[], , _xlfn.XMATCH(Tab_NewTRADER[[#This Row],[ClickTick]]&amp;1, TabConsolid[#Headers])),
  MATCH(
    -Tab_NewTRADER[[#This Row],[M]],
    INDEX(TabConsolid[], , _xlfn.XMATCH(Tab_NewTRADER[[#This Row],[ClickTick]]&amp;2, TabConsolid[#Headers])),
    -1
  )
)</f>
        <v>#N/A</v>
      </c>
      <c r="BQ12" s="679" cm="1">
        <f t="array" aca="1" ref="BQ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12" s="1156" t="e">
        <f ca="1">Tab_NewTRADER[[#This Row],[ReBuy]]/(Tab_NewTRADER[[#This Row],[L_Sn]]+Tab_NewTRADER[[#This Row],[SellMore]])</f>
        <v>#N/A</v>
      </c>
      <c r="BS12" s="687" t="e">
        <f ca="1">((_xlfn.XLOOKUP(Tab_NewTRADER[[#This Row],[ClickTick]],TabCalc[Ticker],TabCalc[NAfter])+Tab_NewTRADER[[#This Row],[L_Sn]])*(Tab_NewTRADER[[#This Row],[Agiotage]]-Tab_NewTRADER[[#This Row],[M]]))/(Tab_NewTRADER[[#This Row],[L_Sn]]*_xlfn.XLOOKUP(Tab_NewTRADER[[#This Row],[ClickTick]],TabCalc[Ticker],TabCalc[NAfter]))</f>
        <v>#DIV/0!</v>
      </c>
      <c r="BT12" s="687">
        <f ca="1">(Tab_NewTRADER[[#This Row],[M]]-Tab_NewTRADER[[#This Row],[Agiotage]])/(Tab_NewTRADER[[#This Row],[M]]-Tab_NewTRADER[[#This Row],[A]])-1</f>
        <v>-1.2330880532568533</v>
      </c>
      <c r="BU12" s="1277">
        <f ca="1">_xlfn.XMATCH(Tab_NewTRADER[[#This Row],[ClickTick]]&amp;1, TabConsolid[#Headers])</f>
        <v>29</v>
      </c>
      <c r="BV12" t="str">
        <f ca="1">IF(ABS(Tab_NewTRADER[[#This Row],[L_Bp]])&gt;=Tab_NewTRADER[[#This Row],[M]],"OK")</f>
        <v>OK</v>
      </c>
    </row>
    <row r="13" spans="1:74"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-41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3,966$</v>
      </c>
      <c r="G13" s="225" t="str">
        <f ca="1">IFERROR(TRUNC(_xlfn.XLOOKUP(Tab_NewTRADER[[#This Row],[ClickTick]],TabCalc[Ticker],ListLastSalep),2)&amp;"x"&amp;_xlfn.XLOOKUP(Tab_NewTRADER[[#This Row],[ClickTick]],TabCalc[Ticker],ListLastSalen)&amp;"=   "&amp;TEXT(-_xlfn.XLOOKUP(Tab_NewTRADER[[#This Row],[ClickTick]],TabCalc[Ticker],ListReverseB),"#,#0")&amp;"$","")</f>
        <v>97.37x95=   299$</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3.1% = 0</v>
      </c>
      <c r="I13" s="226" t="str">
        <f ca="1">IFERROR(TRUNC(TabCalc[[#This Row],[L_S1p]],2)&amp;"x"&amp;TabCalc[[#This Row],[L_S1n]]&amp;"=   "&amp;TEXT(TabCalc[[#This Row],[ReverseB1]],"#,#0"),"")</f>
        <v>82.67x500=   -8,925</v>
      </c>
      <c r="J13" s="295">
        <f ca="1">_xlfn.XLOOKUP(Tab_NewTRADER[[#This Row],[ClickTick]],TabCalc[Ticker],ListGravity)</f>
        <v>1.131733983286908</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502.59999999999997</v>
      </c>
      <c r="M13" s="323">
        <f ca="1">_xlfn.XLOOKUP(Tab_NewTRADER[[#This Row],[ClickTick]],TabCalc[Ticker],TabCalc[Agiotage])</f>
        <v>0.88466405030695294</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-4.0622213415239354E-3</v>
      </c>
      <c r="S13" s="683">
        <f ca="1">_xlfn.XLOOKUP(Tab_NewTRADER[[#This Row],[ClickTick]],TabCalc[Ticker],TabCalc[Rev(MinStock)])*(1-Commission)</f>
        <v>-40.893400000001073</v>
      </c>
      <c r="T13" s="782">
        <f ca="1">_xlfn.XLOOKUP(Tab_NewTRADER[[#This Row],[ClickTick]],TabCalc[Ticker],TabCalc[Agiotage])</f>
        <v>0.88466405030695294</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12/12=&gt;-0.3% / -0.3%</v>
      </c>
      <c r="V13" s="739" t="str">
        <f ca="1">_xlfn.XLOOKUP(Tab_NewTRADER[[#This Row],[ClickTick]],[1]!RTData[Ticker_Symbol],[1]!RTData[Currency])</f>
        <v>USD</v>
      </c>
      <c r="W13" s="749">
        <f ca="1">_xlfn.XLOOKUP(Tab_NewTRADER[[#This Row],[ClickTick]],TabCalc[Ticker],TabCalc[M])</f>
        <v>100.52</v>
      </c>
      <c r="X13" s="1343"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E13" s="1195" t="str" cm="1">
        <f t="array" aca="1" ref="AE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3" s="1177" t="str" cm="1">
        <f t="array" aca="1" ref="AF13" ca="1">_xlfn.IFS(       Tab_NewTRADER[[#This Row],[Trap_vs_Last]]=RePurchaseGain,TEXT(Tab_NewTRADER[[#This Row],[L_Sn]],"#,#0")&amp;" x "&amp;TEXT(Tab_NewTRADER[[#This Row],[L_Sp]],"#,#0.#0"),     Tab_NewTRADER[[#This Row],[Trap_vs_Last]]=ReSaleGain,Tab_NewTRADER[[#This Row],[ToSell]],               TRUE,"")</f>
        <v/>
      </c>
      <c r="AG13" s="1177" t="str" cm="1">
        <f t="array" aca="1" ref="AG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H13" s="1370" t="str">
        <f ca="1">TEXT(MIN(Tab_NewTRADER[[#This Row],[L_Bn]],Tab_NewTRADER[[#This Row],[N]]),"#,#0")&amp;" x "&amp;TEXT(Tab_NewTRADER[[#This Row],[L_Bp]],"#,#0.#0")</f>
        <v>100 x -100.93</v>
      </c>
      <c r="AI13" s="1370">
        <f ca="1">IF(Tab_NewTRADER[[#This Row],[M]]&lt;_xlfn.XLOOKUP(Tab_NewTRADER[[#This Row],[ClickTick]],TabCalc[Ticker],TabCalc[Max_Buy_P]), 0,Tab_NewTRADER[[#This Row],[Sale_Back_$]])</f>
        <v>0</v>
      </c>
      <c r="AJ13" s="1370" t="str">
        <f ca="1">TEXT(Tab_NewTRADER[[#This Row],[L_Sn]],"#,#0")&amp;" ("&amp;Tab_NewTRADER[[#This Row],[M]]&amp;"/"&amp;TEXT(Tab_NewTRADER[[#This Row],[L_Sp]],"#,#0.#0)")</f>
        <v>95 (100.52/97.38)</v>
      </c>
      <c r="AK13" s="1370">
        <f ca="1">IF(Tab_NewTRADER[[#This Row],[M]]&lt;_xlfn.XLOOKUP(Tab_NewTRADER[[#This Row],[ClickTick]],TabCalc[Ticker],TabCalc[Max_Buy_P]), -Tab_NewTRADER[[#This Row],[Buy_Back]], 0)</f>
        <v>-297.99818499999964</v>
      </c>
      <c r="AL13" s="1177" cm="1">
        <f t="array" aca="1" ref="AL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40.893400000001073</v>
      </c>
      <c r="AM13" s="1177">
        <f ca="1">Tab_NewTRADER[[#This Row],[N]]*(Tab_NewTRADER[[#This Row],[M]]-Tab_NewTRADER[[#This Row],[A]])*(1-Commission)*Tab_NewTRADER[[#This Row],[Scale]]</f>
        <v>147.46558999999897</v>
      </c>
      <c r="AN13" s="1177">
        <f ca="1">Tab_NewTRADER[[#This Row],[M]]*Tab_NewTRADER[[#This Row],[N]]*(1-Commission)*Tab_NewTRADER[[#This Row],[Scale]]</f>
        <v>10527.15804</v>
      </c>
      <c r="AO13" s="1186" cm="1">
        <f t="array" aca="1" ref="AO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-1.4207125183174282E-2</v>
      </c>
      <c r="AP13" s="1186" cm="1">
        <f t="array" aca="1" ref="AP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1.4787902904895628E-3</v>
      </c>
      <c r="AQ13" s="825" t="str" cm="1">
        <f t="array" aca="1" ref="AQ13" ca="1">_xlfn.IFS(   Tab_NewTRADER[[#This Row],[Trap_vs_Last]]=SellMorePercentGain,                     MIN(Tab_NewTRADER[[#This Row],[L_Sn]],Tab_NewTRADER[[#This Row],[N]])*(Tab_NewTRADER[[#This Row],[M]]-Tab_NewTRADER[[#This Row],[L_Sp]])*(1-Commission)*Tab_NewTRADER[[#This Row],[Scale]],                    TRUE,"")</f>
        <v/>
      </c>
      <c r="AR13" s="1175">
        <f ca="1">_xlfn.XLOOKUP(Tab_NewTRADER[[#This Row],[ClickTick]],TabCalc[Ticker],TabCalc[Ann%RevLB])</f>
        <v>-0.48746656098287222</v>
      </c>
      <c r="AS13" s="1282">
        <f ca="1">_xlfn.XLOOKUP(Tab_NewTRADER[[#This Row],[ClickTick]],TabCalc[Ticker],TabCalc[Up20])</f>
        <v>0</v>
      </c>
      <c r="AT13" s="1187" cm="1">
        <f t="array" aca="1" ref="AT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4.0787902904895626E-3</v>
      </c>
      <c r="AU13" s="825" cm="1">
        <f t="array" aca="1" ref="AU13" ca="1">_xlfn.IFS(         Tab_NewTRADER[[#This Row],[Trap_vs_Last]]=MDown,Tab_NewTRADER[[#This Row],[L_Bn]]*Tab_NewTRADER[[#This Row],[M]]*(-(Tab_NewTRADER[[#This Row],[L_Bp]]+Tab_NewTRADER[[#This Row],[M]])/Tab_NewTRADER[[#This Row],[M]])*(1-Commission)*Tab_NewTRADER[[#This Row],[Scale]],                               TRUE,"")</f>
        <v>40.89340000000108</v>
      </c>
      <c r="AV13" s="1186" cm="1">
        <f t="array" aca="1" ref="AV13" ca="1">_xlfn.IFS(   Tab_NewTRADER[[#This Row],[Trap_vs_Last]]=MUp,Tab_NewTRADER[[#This Row],[TakeGain_A]]-Commission,        Tab_NewTRADER[[#This Row],[Trap_vs_Last]]=MDown,(Tab_NewTRADER[[#This Row],[A]]-Tab_NewTRADER[[#This Row],[M]])/Tab_NewTRADER[[#This Row],[M]]-Commission,                              TRUE,"")</f>
        <v>-1.6608110207871354E-2</v>
      </c>
      <c r="AW13" s="825" cm="1">
        <f t="array" aca="1" ref="AW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-147.46558999999897</v>
      </c>
      <c r="AX13" s="760" t="str" cm="1">
        <f t="array" aca="1" ref="AX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13" s="736" cm="1">
        <f t="array" aca="1" ref="AY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-0.41</v>
      </c>
      <c r="AZ13" s="765" cm="1">
        <f t="array" aca="1" ref="AZ13" ca="1">_xlfn.IFS(Tab_NewTRADER[[#This Row],[Trap_vs_Last]]=ReSaleGain,"",         Tab_NewTRADER[[#This Row],[Trap_vs_Last]]=MDown, (Tab_NewTRADER[[#This Row],[M]]-Tab_NewTRADER[[#This Row],[A]])/Tab_NewTRADER[[#This Row],[A]]*ComFactor,             TRUE, IFERROR((Tab_NewTRADER[[#This Row],[M]]-Tab_NewTRADER[[#This Row],[A]])/Tab_NewTRADER[[#This Row],[A]]*ComFactor,""))</f>
        <v>1.4170186657698029E-2</v>
      </c>
      <c r="BA13" s="762" cm="1">
        <f t="array" aca="1" ref="BA13" ca="1">_xlfn.IFS(               Tab_NewTRADER[[#This Row],[Trap_vs_Last]]=NoStock,(Tab_NewTRADER[[#This Row],[L_Sp]]-Tab_NewTRADER[[#This Row],[M]])/Tab_NewTRADER[[#This Row],[M]]-Commission,             Tab_NewTRADER[[#This Row],[A]]&lt;&gt;0,(Tab_NewTRADER[[#This Row],[A]]-Tab_NewTRADER[[#This Row],[M]])/Tab_NewTRADER[[#This Row],[M]]-Commission)</f>
        <v>-1.6608110207871354E-2</v>
      </c>
      <c r="BB13" s="324">
        <f ca="1">_xlfn.XLOOKUP(Tab_NewTRADER[[#This Row],[ClickTick]],TabCalc[Ticker],TabCalc[L_Sn])</f>
        <v>95</v>
      </c>
      <c r="BC13" s="728">
        <f ca="1">_xlfn.XLOOKUP(Tab_NewTRADER[[#This Row],[ClickTick]],TabCalc[Ticker],TabCalc[L_Sp])</f>
        <v>97.375</v>
      </c>
      <c r="BD13" s="764">
        <f ca="1">-IFERROR((Tab_NewTRADER[[#This Row],[M]]-Tab_NewTRADER[[#This Row],[L_Sp]])/Tab_NewTRADER[[#This Row],[L_Sp]],0)</f>
        <v>-3.2297817715019217E-2</v>
      </c>
      <c r="BE13" s="729">
        <f ca="1">MIN(Tab_NewTRADER[[#This Row],[L_Sn]],Tab_NewTRADER[[#This Row],[N]])*(Tab_NewTRADER[[#This Row],[M]]-Tab_NewTRADER[[#This Row],[L_Sp]])*(1-Commission)*Tab_NewTRADER[[#This Row],[Scale]]</f>
        <v>297.99818499999964</v>
      </c>
      <c r="BF13" s="692">
        <f ca="1">Tab_NewTRADER[[#This Row],[L_Sn]]*(Tab_NewTRADER[[#This Row],[Agiotage]]-Tab_NewTRADER[[#This Row],[M]])/(Tab_NewTRADER[[#This Row],[L_Bn]]*Tab_NewTRADER[[#This Row],[M]])</f>
        <v>-0.9416391678492676</v>
      </c>
      <c r="BG13" s="635">
        <f ca="1">IFERROR((Tab_NewTRADER[[#This Row],[M]]-Tab_NewTRADER[[#This Row],[A]])/Tab_NewTRADER[[#This Row],[A]],0)</f>
        <v>1.4207125183174282E-2</v>
      </c>
      <c r="BH13" s="638" t="str">
        <f ca="1">TEXT(_xlfn.XLOOKUP(Tab_NewTRADER[[#This Row],[ClickTick]],TabCalc[Ticker],TabCalc[NAfter]),"#,#0")&amp;" : "&amp;TEXT(_xlfn.XLOOKUP(Tab_NewTRADER[[#This Row],[ClickTick]],TabCalc[Ticker],TabCalc[NAfter])*(Tab_NewTRADER[[#This Row],[M]]-Tab_NewTRADER[[#This Row],[A]])*(1-Commission)*Tab_NewTRADER[[#This Row],[Scale]],"#,#0$")</f>
        <v>105 : 147$</v>
      </c>
      <c r="BI13" s="684">
        <f ca="1">_xlfn.XLOOKUP(Tab_NewTRADER[[#This Row],[ClickTick]],TabCalc[[#This Row],[Ticker]],TabCalc[[#This Row],[GL]])*(1-Commission)</f>
        <v>40355.766491000002</v>
      </c>
      <c r="BJ13" s="684"/>
      <c r="BK13" s="669" t="str">
        <f ca="1">Tab_NewTRADER[[#This Row],[ClickTick]]&amp;": "&amp;_xlfn.XLOOKUP(Tab_NewTRADER[[#This Row],[ClickTick]],TabCalc[Ticker],TabCalc[Pile?])</f>
        <v xml:space="preserve">C: </v>
      </c>
      <c r="BL13" s="351" t="s">
        <v>1971</v>
      </c>
      <c r="BM13" s="755" t="str" cm="1">
        <f t="array" aca="1" ref="BM13" ca="1">_xlfn.TEXTJOIN("",,INDEX({"M","A","Y"}, _xlfn.SORTBY({1,2,3}, -CHOOSE({1,2,3}, Tab_NewTRADER[[#This Row],[M]], Tab_NewTRADER[[#This Row],[A]], Tab_NewTRADER[[#This Row],[Agiotage]]))))</f>
        <v>MAY</v>
      </c>
      <c r="BN13" s="909" cm="1">
        <f t="array" aca="1" ref="BN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4.0787902904895626E-3</v>
      </c>
      <c r="BO13" s="679">
        <f ca="1">Tab_NewTRADER[[#This Row],[L_Sn]]*Tab_NewTRADER[[#This Row],[L_Sp]]+Tab_NewTRADER[[#This Row],[SellMore]]*Tab_NewTRADER[[#This Row],[M]]</f>
        <v>9753.2250000000004</v>
      </c>
      <c r="BP13" s="679">
        <f ca="1">INDEX(
  INDEX(TabConsolid[], , _xlfn.XMATCH(Tab_NewTRADER[[#This Row],[ClickTick]]&amp;1, TabConsolid[#Headers])),
  MATCH(
    -Tab_NewTRADER[[#This Row],[M]],
    INDEX(TabConsolid[], , _xlfn.XMATCH(Tab_NewTRADER[[#This Row],[ClickTick]]&amp;2, TabConsolid[#Headers])),
    -1
  )
)</f>
        <v>5</v>
      </c>
      <c r="BQ13" s="679" cm="1">
        <f t="array" aca="1" ref="BQ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R13" s="1156">
        <f ca="1">Tab_NewTRADER[[#This Row],[ReBuy]]/(Tab_NewTRADER[[#This Row],[L_Sn]]+Tab_NewTRADER[[#This Row],[SellMore]])</f>
        <v>97.532250000000005</v>
      </c>
      <c r="BS13" s="687">
        <f ca="1">((_xlfn.XLOOKUP(Tab_NewTRADER[[#This Row],[ClickTick]],TabCalc[Ticker],TabCalc[NAfter])+Tab_NewTRADER[[#This Row],[L_Sn]])*(Tab_NewTRADER[[#This Row],[Agiotage]]-Tab_NewTRADER[[#This Row],[M]]))/(Tab_NewTRADER[[#This Row],[L_Sn]]*_xlfn.XLOOKUP(Tab_NewTRADER[[#This Row],[ClickTick]],TabCalc[Ticker],TabCalc[NAfter]))</f>
        <v>-1.9977009714224168</v>
      </c>
      <c r="BT13" s="687">
        <f ca="1">(Tab_NewTRADER[[#This Row],[M]]-Tab_NewTRADER[[#This Row],[Agiotage]])/(Tab_NewTRADER[[#This Row],[M]]-Tab_NewTRADER[[#This Row],[A]])-1</f>
        <v>69.758946734648916</v>
      </c>
      <c r="BU13" s="1277">
        <f ca="1">_xlfn.XMATCH(Tab_NewTRADER[[#This Row],[ClickTick]]&amp;1, TabConsolid[#Headers])</f>
        <v>32</v>
      </c>
      <c r="BV13" t="str">
        <f ca="1">IF(ABS(Tab_NewTRADER[[#This Row],[L_Bp]])&gt;=Tab_NewTRADER[[#This Row],[M]],"OK")</f>
        <v>OK</v>
      </c>
    </row>
    <row r="14" spans="1:74"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+3,725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11,990$</v>
      </c>
      <c r="G14" s="225" t="str">
        <f ca="1">IFERROR(TRUNC(_xlfn.XLOOKUP(Tab_NewTRADER[[#This Row],[ClickTick]],TabCalc[Ticker],ListLastSalep),2)&amp;"x"&amp;_xlfn.XLOOKUP(Tab_NewTRADER[[#This Row],[ClickTick]],TabCalc[Ticker],ListLastSalen)&amp;"=   "&amp;TEXT(-_xlfn.XLOOKUP(Tab_NewTRADER[[#This Row],[ClickTick]],TabCalc[Ticker],ListReverseB),"#,#0")&amp;"$","")</f>
        <v>69.34x1000=   1,585$</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0</v>
      </c>
      <c r="I14" s="226" t="str">
        <f ca="1">IFERROR(TRUNC(TabCalc[[#This Row],[L_S1p]],2)&amp;"x"&amp;TabCalc[[#This Row],[L_S1n]]&amp;"=   "&amp;TEXT(TabCalc[[#This Row],[ReverseB1]],"#,#0"),"")</f>
        <v>68.32x1000=   -2,605</v>
      </c>
      <c r="J14" s="295">
        <f ca="1">_xlfn.XLOOKUP(Tab_NewTRADER[[#This Row],[ClickTick]],TabCalc[Ticker],ListGravity)</f>
        <v>1.0756566795911173</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0.61914118961950071</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5.5431547619047533E-2</v>
      </c>
      <c r="S14" s="683">
        <f ca="1">_xlfn.XLOOKUP(Tab_NewTRADER[[#This Row],[ClickTick]],TabCalc[Ticker],TabCalc[Rev(MinStock)])*(1-Commission)</f>
        <v>3715.3149999999946</v>
      </c>
      <c r="T14" s="782">
        <f ca="1">_xlfn.XLOOKUP(Tab_NewTRADER[[#This Row],[ClickTick]],TabCalc[Ticker],TabCalc[Agiotage])</f>
        <v>0.61914118961950071</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-465/-465=&gt;-0.2% / -0.2%</v>
      </c>
      <c r="V14" s="739" t="str">
        <f ca="1">_xlfn.XLOOKUP(Tab_NewTRADER[[#This Row],[ClickTick]],[1]!RTData[Ticker_Symbol],[1]!RTData[Currency])</f>
        <v>USD</v>
      </c>
      <c r="W14" s="708">
        <f ca="1">_xlfn.XLOOKUP(Tab_NewTRADER[[#This Row],[ClickTick]],TabCalc[Ticker],TabCalc[M])</f>
        <v>70.924999999999997</v>
      </c>
      <c r="X14" s="1343"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^132 / 71 K$</v>
      </c>
      <c r="AE14" s="1173" t="str" cm="1">
        <f t="array" aca="1" ref="AE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4" s="1177" t="str" cm="1">
        <f t="array" aca="1" ref="AF14" ca="1">_xlfn.IFS(       Tab_NewTRADER[[#This Row],[Trap_vs_Last]]=RePurchaseGain,TEXT(Tab_NewTRADER[[#This Row],[L_Sn]],"#,#0")&amp;" x "&amp;TEXT(Tab_NewTRADER[[#This Row],[L_Sp]],"#,#0.#0"),     Tab_NewTRADER[[#This Row],[Trap_vs_Last]]=ReSaleGain,Tab_NewTRADER[[#This Row],[ToSell]],               TRUE,"")</f>
        <v/>
      </c>
      <c r="AG14" s="1177" t="str" cm="1">
        <f t="array" aca="1" ref="AG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H14" s="1370" t="str">
        <f ca="1">TEXT(MIN(Tab_NewTRADER[[#This Row],[L_Bn]],Tab_NewTRADER[[#This Row],[N]]),"#,#0")&amp;" x "&amp;TEXT(Tab_NewTRADER[[#This Row],[L_Bp]],"#,#0.#0")</f>
        <v>1,000 x -67.20</v>
      </c>
      <c r="AI14" s="1370">
        <f ca="1">IF(Tab_NewTRADER[[#This Row],[M]]&lt;_xlfn.XLOOKUP(Tab_NewTRADER[[#This Row],[ClickTick]],TabCalc[Ticker],TabCalc[Max_Buy_P]), 0,Tab_NewTRADER[[#This Row],[Sale_Back_$]])</f>
        <v>3715.3149999999946</v>
      </c>
      <c r="AJ14" s="1370" t="str">
        <f ca="1">TEXT(Tab_NewTRADER[[#This Row],[L_Sn]],"#,#0")&amp;" ("&amp;Tab_NewTRADER[[#This Row],[M]]&amp;"/"&amp;TEXT(Tab_NewTRADER[[#This Row],[L_Sp]],"#,#0.#0)")</f>
        <v>1,000 (70.925/69.34)</v>
      </c>
      <c r="AK14" s="1370">
        <f ca="1">IF(Tab_NewTRADER[[#This Row],[M]]&lt;_xlfn.XLOOKUP(Tab_NewTRADER[[#This Row],[ClickTick]],TabCalc[Ticker],TabCalc[Max_Buy_P]), -Tab_NewTRADER[[#This Row],[Buy_Back]], 0)</f>
        <v>0</v>
      </c>
      <c r="AL14" s="1177" cm="1">
        <f t="array" aca="1" ref="AL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1580.8789999999935</v>
      </c>
      <c r="AM14" s="1177">
        <f ca="1">Tab_NewTRADER[[#This Row],[N]]*(Tab_NewTRADER[[#This Row],[M]]-Tab_NewTRADER[[#This Row],[A]])*(1-Commission)*Tab_NewTRADER[[#This Row],[Scale]]</f>
        <v>3715.3149999999946</v>
      </c>
      <c r="AN14" s="1177">
        <f ca="1">Tab_NewTRADER[[#This Row],[M]]*Tab_NewTRADER[[#This Row],[N]]*(1-Commission)*Tab_NewTRADER[[#This Row],[Scale]]</f>
        <v>70740.595000000001</v>
      </c>
      <c r="AO14" s="1186" cm="1">
        <f t="array" aca="1" ref="AO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5.5431547619047533E-2</v>
      </c>
      <c r="AP14" s="1186" cm="1">
        <f t="array" aca="1" ref="AP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1.9747550229115174E-2</v>
      </c>
      <c r="AQ14" s="825" cm="1">
        <f t="array" aca="1" ref="AQ14" ca="1">_xlfn.IFS(   Tab_NewTRADER[[#This Row],[Trap_vs_Last]]=SellMorePercentGain,                     MIN(Tab_NewTRADER[[#This Row],[L_Sn]],Tab_NewTRADER[[#This Row],[N]])*(Tab_NewTRADER[[#This Row],[M]]-Tab_NewTRADER[[#This Row],[L_Sp]])*(1-Commission)*Tab_NewTRADER[[#This Row],[Scale]],                    TRUE,"")</f>
        <v>1580.8789999999935</v>
      </c>
      <c r="AR14" s="1192">
        <f ca="1">_xlfn.XLOOKUP(Tab_NewTRADER[[#This Row],[ClickTick]],TabCalc[Ticker],TabCalc[Ann%RevLB])</f>
        <v>0.47512755102040738</v>
      </c>
      <c r="AS14" s="1281">
        <f ca="1">_xlfn.XLOOKUP(Tab_NewTRADER[[#This Row],[ClickTick]],TabCalc[Ticker],TabCalc[Up20])</f>
        <v>0</v>
      </c>
      <c r="AT14" s="310" t="str" cm="1">
        <f t="array" aca="1" ref="AT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4" s="825" t="str" cm="1">
        <f t="array" aca="1" ref="AU14" ca="1">_xlfn.IFS(         Tab_NewTRADER[[#This Row],[Trap_vs_Last]]=MDown,Tab_NewTRADER[[#This Row],[L_Bn]]*Tab_NewTRADER[[#This Row],[M]]*(-(Tab_NewTRADER[[#This Row],[L_Bp]]+Tab_NewTRADER[[#This Row],[M]])/Tab_NewTRADER[[#This Row],[M]])*(1-Commission)*Tab_NewTRADER[[#This Row],[Scale]],                               TRUE,"")</f>
        <v/>
      </c>
      <c r="AV14" s="1186" cm="1">
        <f t="array" aca="1" ref="AV14" ca="1">_xlfn.IFS(   Tab_NewTRADER[[#This Row],[Trap_vs_Last]]=MUp,Tab_NewTRADER[[#This Row],[TakeGain_A]]-Commission,        Tab_NewTRADER[[#This Row],[Trap_vs_Last]]=MDown,(Tab_NewTRADER[[#This Row],[A]]-Tab_NewTRADER[[#This Row],[M]])/Tab_NewTRADER[[#This Row],[M]]-Commission,                              TRUE,"")</f>
        <v>5.2831547619047535E-2</v>
      </c>
      <c r="AW14" s="825" cm="1">
        <f t="array" aca="1" ref="AW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3921.260660342256</v>
      </c>
      <c r="AX14" s="760" t="str" cm="1">
        <f t="array" aca="1" ref="AX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14" s="736" t="str" cm="1">
        <f t="array" aca="1" ref="AY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1,000x3.72</v>
      </c>
      <c r="AZ14" s="765" cm="1">
        <f t="array" aca="1" ref="AZ14" ca="1">_xlfn.IFS(Tab_NewTRADER[[#This Row],[Trap_vs_Last]]=ReSaleGain,"",         Tab_NewTRADER[[#This Row],[Trap_vs_Last]]=MDown, (Tab_NewTRADER[[#This Row],[M]]-Tab_NewTRADER[[#This Row],[A]])/Tab_NewTRADER[[#This Row],[A]]*ComFactor,             TRUE, IFERROR((Tab_NewTRADER[[#This Row],[M]]-Tab_NewTRADER[[#This Row],[A]])/Tab_NewTRADER[[#This Row],[A]]*ComFactor,""))</f>
        <v>5.5287425595238006E-2</v>
      </c>
      <c r="BA14" s="762" cm="1">
        <f t="array" aca="1" ref="BA14" ca="1">_xlfn.IFS(               Tab_NewTRADER[[#This Row],[Trap_vs_Last]]=NoStock,(Tab_NewTRADER[[#This Row],[L_Sp]]-Tab_NewTRADER[[#This Row],[M]])/Tab_NewTRADER[[#This Row],[M]]-Commission,             Tab_NewTRADER[[#This Row],[A]]&lt;&gt;0,(Tab_NewTRADER[[#This Row],[A]]-Tab_NewTRADER[[#This Row],[M]])/Tab_NewTRADER[[#This Row],[M]]-Commission)</f>
        <v>-5.5120267888614655E-2</v>
      </c>
      <c r="BB14" s="324">
        <f ca="1">_xlfn.XLOOKUP(Tab_NewTRADER[[#This Row],[ClickTick]],TabCalc[Ticker],TabCalc[L_Sn])</f>
        <v>1000</v>
      </c>
      <c r="BC14" s="728">
        <f ca="1">_xlfn.XLOOKUP(Tab_NewTRADER[[#This Row],[ClickTick]],TabCalc[Ticker],TabCalc[L_Sp])</f>
        <v>69.34</v>
      </c>
      <c r="BD14" s="764">
        <f ca="1">-IFERROR((Tab_NewTRADER[[#This Row],[M]]-Tab_NewTRADER[[#This Row],[L_Sp]])/Tab_NewTRADER[[#This Row],[L_Sp]],0)</f>
        <v>-2.2858379002018946E-2</v>
      </c>
      <c r="BE14" s="729">
        <f ca="1">MIN(Tab_NewTRADER[[#This Row],[L_Sn]],Tab_NewTRADER[[#This Row],[N]])*(Tab_NewTRADER[[#This Row],[M]]-Tab_NewTRADER[[#This Row],[L_Sp]])*(1-Commission)*Tab_NewTRADER[[#This Row],[Scale]]</f>
        <v>1580.8789999999935</v>
      </c>
      <c r="BF14" s="692">
        <f ca="1">Tab_NewTRADER[[#This Row],[L_Sn]]*(Tab_NewTRADER[[#This Row],[Agiotage]]-Tab_NewTRADER[[#This Row],[M]])/(Tab_NewTRADER[[#This Row],[L_Bn]]*Tab_NewTRADER[[#This Row],[M]])</f>
        <v>-0.9912704802309551</v>
      </c>
      <c r="BG14" s="635">
        <f ca="1">IFERROR((Tab_NewTRADER[[#This Row],[M]]-Tab_NewTRADER[[#This Row],[A]])/Tab_NewTRADER[[#This Row],[A]],0)</f>
        <v>5.5431547619047533E-2</v>
      </c>
      <c r="BH14" s="638" t="str">
        <f ca="1">TEXT(_xlfn.XLOOKUP(Tab_NewTRADER[[#This Row],[ClickTick]],TabCalc[Ticker],TabCalc[NAfter]),"#,#0")&amp;" : "&amp;TEXT(_xlfn.XLOOKUP(Tab_NewTRADER[[#This Row],[ClickTick]],TabCalc[Ticker],TabCalc[NAfter])*(Tab_NewTRADER[[#This Row],[M]]-Tab_NewTRADER[[#This Row],[A]])*(1-Commission)*Tab_NewTRADER[[#This Row],[Scale]],"#,#0$")</f>
        <v>1,000 : 3,715$</v>
      </c>
      <c r="BI14" s="684">
        <f ca="1">_xlfn.XLOOKUP(Tab_NewTRADER[[#This Row],[ClickTick]],TabCalc[[#This Row],[Ticker]],TabCalc[[#This Row],[GL]])*(1-Commission)</f>
        <v>131221.78398999997</v>
      </c>
      <c r="BJ14" s="684"/>
      <c r="BK14" s="669" t="str">
        <f ca="1">Tab_NewTRADER[[#This Row],[ClickTick]]&amp;": "&amp;_xlfn.XLOOKUP(Tab_NewTRADER[[#This Row],[ClickTick]],TabCalc[Ticker],TabCalc[Pile?])</f>
        <v>CSCO: Pile</v>
      </c>
      <c r="BL14" s="351" t="s">
        <v>1970</v>
      </c>
      <c r="BM14" s="755" t="str" cm="1">
        <f t="array" aca="1" ref="BM14" ca="1">_xlfn.TEXTJOIN("",,INDEX({"M","A","Y"}, _xlfn.SORTBY({1,2,3}, -CHOOSE({1,2,3}, Tab_NewTRADER[[#This Row],[M]], Tab_NewTRADER[[#This Row],[A]], Tab_NewTRADER[[#This Row],[Agiotage]]))))</f>
        <v>MAY</v>
      </c>
      <c r="BN14" s="909" cm="1">
        <f t="array" aca="1" ref="BN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2.2347550229115175E-2</v>
      </c>
      <c r="BO14" s="679">
        <f ca="1">Tab_NewTRADER[[#This Row],[L_Sn]]*Tab_NewTRADER[[#This Row],[L_Sp]]+Tab_NewTRADER[[#This Row],[SellMore]]*Tab_NewTRADER[[#This Row],[M]]</f>
        <v>140265</v>
      </c>
      <c r="BP14" s="679">
        <f ca="1">INDEX(
  INDEX(TabConsolid[], , _xlfn.XMATCH(Tab_NewTRADER[[#This Row],[ClickTick]]&amp;1, TabConsolid[#Headers])),
  MATCH(
    -Tab_NewTRADER[[#This Row],[M]],
    INDEX(TabConsolid[], , _xlfn.XMATCH(Tab_NewTRADER[[#This Row],[ClickTick]]&amp;2, TabConsolid[#Headers])),
    -1
  )
)</f>
        <v>1000</v>
      </c>
      <c r="BQ14" s="679" cm="1">
        <f t="array" aca="1" ref="BQ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4" s="1156">
        <f ca="1">Tab_NewTRADER[[#This Row],[ReBuy]]/(Tab_NewTRADER[[#This Row],[L_Sn]]+Tab_NewTRADER[[#This Row],[SellMore]])</f>
        <v>70.132499999999993</v>
      </c>
      <c r="BS14" s="687">
        <f ca="1">((_xlfn.XLOOKUP(Tab_NewTRADER[[#This Row],[ClickTick]],TabCalc[Ticker],TabCalc[NAfter])+Tab_NewTRADER[[#This Row],[L_Sn]])*(Tab_NewTRADER[[#This Row],[Agiotage]]-Tab_NewTRADER[[#This Row],[M]]))/(Tab_NewTRADER[[#This Row],[L_Sn]]*_xlfn.XLOOKUP(Tab_NewTRADER[[#This Row],[ClickTick]],TabCalc[Ticker],TabCalc[NAfter]))</f>
        <v>-0.140611717620761</v>
      </c>
      <c r="BT14" s="687">
        <f ca="1">(Tab_NewTRADER[[#This Row],[M]]-Tab_NewTRADER[[#This Row],[Agiotage]])/(Tab_NewTRADER[[#This Row],[M]]-Tab_NewTRADER[[#This Row],[A]])-1</f>
        <v>17.874056056478015</v>
      </c>
      <c r="BU14" s="1277">
        <f ca="1">_xlfn.XMATCH(Tab_NewTRADER[[#This Row],[ClickTick]]&amp;1, TabConsolid[#Headers])</f>
        <v>35</v>
      </c>
      <c r="BV14" t="b">
        <f ca="1">IF(ABS(Tab_NewTRADER[[#This Row],[L_Bp]])&gt;=Tab_NewTRADER[[#This Row],[M]],"OK")</f>
        <v>0</v>
      </c>
    </row>
    <row r="15" spans="1:74"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+23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28.9%</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33$</v>
      </c>
      <c r="G15" s="225" t="str">
        <f ca="1">IFERROR(TRUNC(_xlfn.XLOOKUP(Tab_NewTRADER[[#This Row],[ClickTick]],TabCalc[Ticker],ListLastSalep),2)&amp;"x"&amp;_xlfn.XLOOKUP(Tab_NewTRADER[[#This Row],[ClickTick]],TabCalc[Ticker],ListLastSalen)&amp;"=   "&amp;TEXT(-_xlfn.XLOOKUP(Tab_NewTRADER[[#This Row],[ClickTick]],TabCalc[Ticker],ListReverseB),"#,#0")&amp;"$","")</f>
        <v>74.68x249=   1,035$</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15" s="226" t="str">
        <f ca="1">IFERROR(TRUNC(TabCalc[[#This Row],[L_S1p]],2)&amp;"x"&amp;TabCalc[[#This Row],[L_S1n]]&amp;"=   "&amp;TEXT(TabCalc[[#This Row],[ReverseB1]],"#,#0"),"")</f>
        <v>62.73x750=   -12,079</v>
      </c>
      <c r="J15" s="295">
        <f ca="1">_xlfn.XLOOKUP(Tab_NewTRADER[[#This Row],[ClickTick]],TabCalc[Ticker],ListGravity)</f>
        <v>1.147640791476408</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0.36095784006590592</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0.40644592506197802</v>
      </c>
      <c r="S15" s="683">
        <f ca="1">_xlfn.XLOOKUP(Tab_NewTRADER[[#This Row],[ClickTick]],TabCalc[Ticker],TabCalc[Rev(MinStock)])*(1-Commission)</f>
        <v>22.724572094000003</v>
      </c>
      <c r="T15" s="782">
        <f ca="1">_xlfn.XLOOKUP(Tab_NewTRADER[[#This Row],[ClickTick]],TabCalc[Ticker],TabCalc[Agiotage])</f>
        <v>0.36095784006590592</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0.2%</v>
      </c>
      <c r="V15" s="739" t="str">
        <f ca="1">_xlfn.XLOOKUP(Tab_NewTRADER[[#This Row],[ClickTick]],[1]!RTData[Ticker_Symbol],[1]!RTData[Currency])</f>
        <v>USD</v>
      </c>
      <c r="W15" s="749">
        <f ca="1">_xlfn.XLOOKUP(Tab_NewTRADER[[#This Row],[ClickTick]],TabCalc[Ticker],TabCalc[M])</f>
        <v>78.84</v>
      </c>
      <c r="X15" s="1343"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E15" s="1195" t="str" cm="1">
        <f t="array" aca="1" ref="AE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5" s="1177" t="str" cm="1">
        <f t="array" aca="1" ref="AF15" ca="1">_xlfn.IFS(       Tab_NewTRADER[[#This Row],[Trap_vs_Last]]=RePurchaseGain,TEXT(Tab_NewTRADER[[#This Row],[L_Sn]],"#,#0")&amp;" x "&amp;TEXT(Tab_NewTRADER[[#This Row],[L_Sp]],"#,#0.#0"),     Tab_NewTRADER[[#This Row],[Trap_vs_Last]]=ReSaleGain,Tab_NewTRADER[[#This Row],[ToSell]],               TRUE,"")</f>
        <v/>
      </c>
      <c r="AG15" s="1177" t="str" cm="1">
        <f t="array" aca="1" ref="AG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H15" s="1370" t="str">
        <f ca="1">TEXT(MIN(Tab_NewTRADER[[#This Row],[L_Bn]],Tab_NewTRADER[[#This Row],[N]]),"#,#0")&amp;" x "&amp;TEXT(Tab_NewTRADER[[#This Row],[L_Bp]],"#,#0.#0")</f>
        <v>1 x -56.06</v>
      </c>
      <c r="AI15" s="1370">
        <f ca="1">IF(Tab_NewTRADER[[#This Row],[M]]&lt;_xlfn.XLOOKUP(Tab_NewTRADER[[#This Row],[ClickTick]],TabCalc[Ticker],TabCalc[Max_Buy_P]), 0,Tab_NewTRADER[[#This Row],[Sale_Back_$]])</f>
        <v>22.724572094000003</v>
      </c>
      <c r="AJ15" s="1370" t="str">
        <f ca="1">TEXT(Tab_NewTRADER[[#This Row],[L_Sn]],"#,#0")&amp;" ("&amp;Tab_NewTRADER[[#This Row],[M]]&amp;"/"&amp;TEXT(Tab_NewTRADER[[#This Row],[L_Sp]],"#,#0.#0)")</f>
        <v>249 (78.84/74.69)</v>
      </c>
      <c r="AK15" s="1370">
        <f ca="1">IF(Tab_NewTRADER[[#This Row],[M]]&lt;_xlfn.XLOOKUP(Tab_NewTRADER[[#This Row],[ClickTick]],TabCalc[Ticker],TabCalc[Max_Buy_P]), -Tab_NewTRADER[[#This Row],[Buy_Back]], 0)</f>
        <v>0</v>
      </c>
      <c r="AL15" s="1177" cm="1">
        <f t="array" aca="1" ref="AL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4.144197000000001</v>
      </c>
      <c r="AM15" s="1177">
        <f ca="1">Tab_NewTRADER[[#This Row],[N]]*(Tab_NewTRADER[[#This Row],[M]]-Tab_NewTRADER[[#This Row],[A]])*(1-Commission)*Tab_NewTRADER[[#This Row],[Scale]]</f>
        <v>22.724572094000003</v>
      </c>
      <c r="AN15" s="1177">
        <f ca="1">Tab_NewTRADER[[#This Row],[M]]*Tab_NewTRADER[[#This Row],[N]]*(1-Commission)*Tab_NewTRADER[[#This Row],[Scale]]</f>
        <v>78.635015999999993</v>
      </c>
      <c r="AO15" s="1186" cm="1">
        <f t="array" aca="1" ref="AO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0.40644592506197802</v>
      </c>
      <c r="AP15" s="1186" cm="1">
        <f t="array" aca="1" ref="AP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5.0101674277016756E-2</v>
      </c>
      <c r="AQ15" s="825" cm="1">
        <f t="array" aca="1" ref="AQ15" ca="1">_xlfn.IFS(   Tab_NewTRADER[[#This Row],[Trap_vs_Last]]=SellMorePercentGain,                     MIN(Tab_NewTRADER[[#This Row],[L_Sn]],Tab_NewTRADER[[#This Row],[N]])*(Tab_NewTRADER[[#This Row],[M]]-Tab_NewTRADER[[#This Row],[L_Sp]])*(1-Commission)*Tab_NewTRADER[[#This Row],[Scale]],                    TRUE,"")</f>
        <v>4.144197000000001</v>
      </c>
      <c r="AR15" s="1192">
        <f ca="1">_xlfn.XLOOKUP(Tab_NewTRADER[[#This Row],[ClickTick]],TabCalc[Ticker],TabCalc[Ann%RevLB])</f>
        <v>0.51521314444476096</v>
      </c>
      <c r="AS15" s="1281">
        <f ca="1">_xlfn.XLOOKUP(Tab_NewTRADER[[#This Row],[ClickTick]],TabCalc[Ticker],TabCalc[Up20])</f>
        <v>0</v>
      </c>
      <c r="AT15" s="1187" t="str" cm="1">
        <f t="array" aca="1" ref="AT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5" s="825" t="str" cm="1">
        <f t="array" aca="1" ref="AU15" ca="1">_xlfn.IFS(         Tab_NewTRADER[[#This Row],[Trap_vs_Last]]=MDown,Tab_NewTRADER[[#This Row],[L_Bn]]*Tab_NewTRADER[[#This Row],[M]]*(-(Tab_NewTRADER[[#This Row],[L_Bp]]+Tab_NewTRADER[[#This Row],[M]])/Tab_NewTRADER[[#This Row],[M]])*(1-Commission)*Tab_NewTRADER[[#This Row],[Scale]],                               TRUE,"")</f>
        <v/>
      </c>
      <c r="AV15" s="1186" cm="1">
        <f t="array" aca="1" ref="AV15" ca="1">_xlfn.IFS(   Tab_NewTRADER[[#This Row],[Trap_vs_Last]]=MUp,Tab_NewTRADER[[#This Row],[TakeGain_A]]-Commission,        Tab_NewTRADER[[#This Row],[Trap_vs_Last]]=MDown,(Tab_NewTRADER[[#This Row],[A]]-Tab_NewTRADER[[#This Row],[M]])/Tab_NewTRADER[[#This Row],[M]]-Commission,                              TRUE,"")</f>
        <v>0.40384592506197803</v>
      </c>
      <c r="AW15" s="760" cm="1">
        <f t="array" aca="1" ref="AW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31.960881820383445</v>
      </c>
      <c r="AX15" s="760" t="str" cm="1">
        <f t="array" aca="1" ref="AX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-1.9%</v>
      </c>
      <c r="AY15" s="736" t="str" cm="1">
        <f t="array" aca="1" ref="AY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1x22.78</v>
      </c>
      <c r="AZ15" s="765" cm="1">
        <f t="array" aca="1" ref="AZ15" ca="1">_xlfn.IFS(Tab_NewTRADER[[#This Row],[Trap_vs_Last]]=ReSaleGain,"",         Tab_NewTRADER[[#This Row],[Trap_vs_Last]]=MDown, (Tab_NewTRADER[[#This Row],[M]]-Tab_NewTRADER[[#This Row],[A]])/Tab_NewTRADER[[#This Row],[A]]*ComFactor,             TRUE, IFERROR((Tab_NewTRADER[[#This Row],[M]]-Tab_NewTRADER[[#This Row],[A]])/Tab_NewTRADER[[#This Row],[A]]*ComFactor,""))</f>
        <v>0.40538916565681687</v>
      </c>
      <c r="BA15" s="762" cm="1">
        <f t="array" aca="1" ref="BA15" ca="1">_xlfn.IFS(               Tab_NewTRADER[[#This Row],[Trap_vs_Last]]=NoStock,(Tab_NewTRADER[[#This Row],[L_Sp]]-Tab_NewTRADER[[#This Row],[M]])/Tab_NewTRADER[[#This Row],[M]]-Commission,             Tab_NewTRADER[[#This Row],[A]]&lt;&gt;0,(Tab_NewTRADER[[#This Row],[A]]-Tab_NewTRADER[[#This Row],[M]])/Tab_NewTRADER[[#This Row],[M]]-Commission)</f>
        <v>-0.29158795027904616</v>
      </c>
      <c r="BB15" s="324">
        <f ca="1">_xlfn.XLOOKUP(Tab_NewTRADER[[#This Row],[ClickTick]],TabCalc[Ticker],TabCalc[L_Sn])</f>
        <v>249</v>
      </c>
      <c r="BC15" s="728">
        <f ca="1">_xlfn.XLOOKUP(Tab_NewTRADER[[#This Row],[ClickTick]],TabCalc[Ticker],TabCalc[L_Sp])</f>
        <v>74.685000000000002</v>
      </c>
      <c r="BD15" s="764">
        <f ca="1">-IFERROR((Tab_NewTRADER[[#This Row],[M]]-Tab_NewTRADER[[#This Row],[L_Sp]])/Tab_NewTRADER[[#This Row],[L_Sp]],0)</f>
        <v>-5.5633661377786719E-2</v>
      </c>
      <c r="BE15" s="729">
        <f ca="1">MIN(Tab_NewTRADER[[#This Row],[L_Sn]],Tab_NewTRADER[[#This Row],[N]])*(Tab_NewTRADER[[#This Row],[M]]-Tab_NewTRADER[[#This Row],[L_Sp]])*(1-Commission)*Tab_NewTRADER[[#This Row],[Scale]]</f>
        <v>4.144197000000001</v>
      </c>
      <c r="BF15" s="692">
        <f ca="1">Tab_NewTRADER[[#This Row],[L_Sn]]*(Tab_NewTRADER[[#This Row],[Agiotage]]-Tab_NewTRADER[[#This Row],[M]])/(Tab_NewTRADER[[#This Row],[L_Bn]]*Tab_NewTRADER[[#This Row],[M]])</f>
        <v>-0.12392999427843475</v>
      </c>
      <c r="BG15" s="635">
        <f ca="1">IFERROR((Tab_NewTRADER[[#This Row],[M]]-Tab_NewTRADER[[#This Row],[A]])/Tab_NewTRADER[[#This Row],[A]],0)</f>
        <v>0.40644592506197802</v>
      </c>
      <c r="BH15" s="638" t="str">
        <f ca="1">TEXT(_xlfn.XLOOKUP(Tab_NewTRADER[[#This Row],[ClickTick]],TabCalc[Ticker],TabCalc[NAfter]),"#,#0")&amp;" : "&amp;TEXT(_xlfn.XLOOKUP(Tab_NewTRADER[[#This Row],[ClickTick]],TabCalc[Ticker],TabCalc[NAfter])*(Tab_NewTRADER[[#This Row],[M]]-Tab_NewTRADER[[#This Row],[A]])*(1-Commission)*Tab_NewTRADER[[#This Row],[Scale]],"#,#0$")</f>
        <v>1 : 23$</v>
      </c>
      <c r="BI15" s="684">
        <f ca="1">_xlfn.XLOOKUP(Tab_NewTRADER[[#This Row],[ClickTick]],TabCalc[[#This Row],[Ticker]],TabCalc[[#This Row],[GL]])*(1-Commission)</f>
        <v>-44330.166115000007</v>
      </c>
      <c r="BJ15" s="684"/>
      <c r="BK15" s="669" t="str">
        <f ca="1">Tab_NewTRADER[[#This Row],[ClickTick]]&amp;": "&amp;_xlfn.XLOOKUP(Tab_NewTRADER[[#This Row],[ClickTick]],TabCalc[Ticker],TabCalc[Pile?])</f>
        <v xml:space="preserve">CVS: </v>
      </c>
      <c r="BL15" s="351" t="s">
        <v>2046</v>
      </c>
      <c r="BM15" s="755" t="str" cm="1">
        <f t="array" aca="1" ref="BM15" ca="1">_xlfn.TEXTJOIN("",,INDEX({"M","A","Y"}, _xlfn.SORTBY({1,2,3}, -CHOOSE({1,2,3}, Tab_NewTRADER[[#This Row],[M]], Tab_NewTRADER[[#This Row],[A]], Tab_NewTRADER[[#This Row],[Agiotage]]))))</f>
        <v>MAY</v>
      </c>
      <c r="BN15" s="909" cm="1">
        <f t="array" aca="1" ref="BN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5.2701674277016754E-2</v>
      </c>
      <c r="BO15" s="679">
        <f ca="1">Tab_NewTRADER[[#This Row],[L_Sn]]*Tab_NewTRADER[[#This Row],[L_Sp]]+Tab_NewTRADER[[#This Row],[SellMore]]*Tab_NewTRADER[[#This Row],[M]]</f>
        <v>18675.405000000002</v>
      </c>
      <c r="BP15" s="679">
        <f ca="1">INDEX(
  INDEX(TabConsolid[], , _xlfn.XMATCH(Tab_NewTRADER[[#This Row],[ClickTick]]&amp;1, TabConsolid[#Headers])),
  MATCH(
    -Tab_NewTRADER[[#This Row],[M]],
    INDEX(TabConsolid[], , _xlfn.XMATCH(Tab_NewTRADER[[#This Row],[ClickTick]]&amp;2, TabConsolid[#Headers])),
    -1
  )
)</f>
        <v>1</v>
      </c>
      <c r="BQ15" s="679" cm="1">
        <f t="array" aca="1" ref="BQ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5" s="1156">
        <f ca="1">Tab_NewTRADER[[#This Row],[ReBuy]]/(Tab_NewTRADER[[#This Row],[L_Sn]]+Tab_NewTRADER[[#This Row],[SellMore]])</f>
        <v>74.701620000000005</v>
      </c>
      <c r="BS15" s="687">
        <f ca="1">((_xlfn.XLOOKUP(Tab_NewTRADER[[#This Row],[ClickTick]],TabCalc[Ticker],TabCalc[NAfter])+Tab_NewTRADER[[#This Row],[L_Sn]])*(Tab_NewTRADER[[#This Row],[Agiotage]]-Tab_NewTRADER[[#This Row],[M]]))/(Tab_NewTRADER[[#This Row],[L_Sn]]*_xlfn.XLOOKUP(Tab_NewTRADER[[#This Row],[ClickTick]],TabCalc[Ticker],TabCalc[NAfter]))</f>
        <v>-78.794219036078402</v>
      </c>
      <c r="BT15" s="687">
        <f ca="1">(Tab_NewTRADER[[#This Row],[M]]-Tab_NewTRADER[[#This Row],[Agiotage]])/(Tab_NewTRADER[[#This Row],[M]]-Tab_NewTRADER[[#This Row],[A]])-1</f>
        <v>2.4445091562795724</v>
      </c>
      <c r="BU15" s="1277">
        <f ca="1">_xlfn.XMATCH(Tab_NewTRADER[[#This Row],[ClickTick]]&amp;1, TabConsolid[#Headers])</f>
        <v>38</v>
      </c>
      <c r="BV15" t="b">
        <f ca="1">IF(ABS(Tab_NewTRADER[[#This Row],[L_Bp]])&gt;=Tab_NewTRADER[[#This Row],[M]],"OK")</f>
        <v>0</v>
      </c>
    </row>
    <row r="16" spans="1:74"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+6,300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14.2%</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-21,525$</v>
      </c>
      <c r="G16" s="225" t="str">
        <f ca="1">IFERROR(TRUNC(_xlfn.XLOOKUP(Tab_NewTRADER[[#This Row],[ClickTick]],TabCalc[Ticker],ListLastSalep),2)&amp;"x"&amp;_xlfn.XLOOKUP(Tab_NewTRADER[[#This Row],[ClickTick]],TabCalc[Ticker],ListLastSalen)&amp;"=   "&amp;TEXT(-_xlfn.XLOOKUP(Tab_NewTRADER[[#This Row],[ClickTick]],TabCalc[Ticker],ListReverseB),"#,#0")&amp;"$","")</f>
        <v>3.15x10000=   -9,250$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41.6% = 5,405</v>
      </c>
      <c r="I16" s="226" t="str">
        <f ca="1">IFERROR(TRUNC(TabCalc[[#This Row],[L_S1p]],2)&amp;"x"&amp;TabCalc[[#This Row],[L_S1n]]&amp;"=   "&amp;TEXT(TabCalc[[#This Row],[ReverseB1]],"#,#0"),"")</f>
        <v>3.08x5000=   4,275</v>
      </c>
      <c r="J16" s="295">
        <f ca="1">_xlfn.XLOOKUP(Tab_NewTRADER[[#This Row],[ClickTick]],TabCalc[Ticker],ListGravity)</f>
        <v>1.4606741573033708</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100125</v>
      </c>
      <c r="M16" s="323">
        <f ca="1">_xlfn.XLOOKUP(Tab_NewTRADER[[#This Row],[ClickTick]],TabCalc[Ticker],TabCalc[Agiotage])</f>
        <v>0.54788075577674089</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 xml:space="preserve">40,000: </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0.16492146596858648</v>
      </c>
      <c r="S16" s="683">
        <f ca="1">_xlfn.XLOOKUP(Tab_NewTRADER[[#This Row],[ClickTick]],TabCalc[Ticker],TabCalc[Rev(MinStock)])*(1-Commission)</f>
        <v>6283.6200000000035</v>
      </c>
      <c r="T16" s="782">
        <f ca="1">_xlfn.XLOOKUP(Tab_NewTRADER[[#This Row],[ClickTick]],TabCalc[Ticker],TabCalc[Agiotage])</f>
        <v>0.54788075577674089</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425/425=&gt;-1.1% / -1.1%</v>
      </c>
      <c r="V16" s="739" t="str">
        <f ca="1">_xlfn.XLOOKUP(Tab_NewTRADER[[#This Row],[ClickTick]],[1]!RTData[Ticker_Symbol],[1]!RTData[Currency])</f>
        <v>USD</v>
      </c>
      <c r="W16" s="749">
        <f ca="1">_xlfn.XLOOKUP(Tab_NewTRADER[[#This Row],[ClickTick]],TabCalc[Ticker],TabCalc[M])</f>
        <v>2.2250000000000001</v>
      </c>
      <c r="X16" s="1343"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-323/189 K$</v>
      </c>
      <c r="AE16" s="1173" t="str" cm="1">
        <f t="array" aca="1" ref="AE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6" s="1177" t="str" cm="1">
        <f t="array" aca="1" ref="AF16" ca="1">_xlfn.IFS(       Tab_NewTRADER[[#This Row],[Trap_vs_Last]]=RePurchaseGain,TEXT(Tab_NewTRADER[[#This Row],[L_Sn]],"#,#0")&amp;" x "&amp;TEXT(Tab_NewTRADER[[#This Row],[L_Sp]],"#,#0.#0"),     Tab_NewTRADER[[#This Row],[Trap_vs_Last]]=ReSaleGain,Tab_NewTRADER[[#This Row],[ToSell]],               TRUE,"")</f>
        <v>10,000 x 3.15</v>
      </c>
      <c r="AG16" s="1177" cm="1">
        <f t="array" aca="1" ref="AG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9225.9499999999971</v>
      </c>
      <c r="AH16" s="1370" t="str">
        <f ca="1">TEXT(MIN(Tab_NewTRADER[[#This Row],[L_Bn]],Tab_NewTRADER[[#This Row],[N]]),"#,#0")&amp;" x "&amp;TEXT(Tab_NewTRADER[[#This Row],[L_Bp]],"#,#0.#0")</f>
        <v>20,000 x -1.91</v>
      </c>
      <c r="AI16" s="1370">
        <f ca="1">IF(Tab_NewTRADER[[#This Row],[M]]&lt;_xlfn.XLOOKUP(Tab_NewTRADER[[#This Row],[ClickTick]],TabCalc[Ticker],TabCalc[Max_Buy_P]), 0,Tab_NewTRADER[[#This Row],[Sale_Back_$]])</f>
        <v>0</v>
      </c>
      <c r="AJ16" s="1370" t="str">
        <f ca="1">TEXT(Tab_NewTRADER[[#This Row],[L_Sn]],"#,#0")&amp;" ("&amp;Tab_NewTRADER[[#This Row],[M]]&amp;"/"&amp;TEXT(Tab_NewTRADER[[#This Row],[L_Sp]],"#,#0.#0)")</f>
        <v>10,000 (2.225/3.15)</v>
      </c>
      <c r="AK16" s="1370">
        <f ca="1">IF(Tab_NewTRADER[[#This Row],[M]]&lt;_xlfn.XLOOKUP(Tab_NewTRADER[[#This Row],[ClickTick]],TabCalc[Ticker],TabCalc[Max_Buy_P]), -Tab_NewTRADER[[#This Row],[Buy_Back]], 0)</f>
        <v>9225.9499999999971</v>
      </c>
      <c r="AL16" s="1177" t="str" cm="1">
        <f t="array" aca="1" ref="AL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6" s="760">
        <f ca="1">Tab_NewTRADER[[#This Row],[N]]*(Tab_NewTRADER[[#This Row],[M]]-Tab_NewTRADER[[#This Row],[A]])*(1-Commission)*Tab_NewTRADER[[#This Row],[Scale]]</f>
        <v>-64606.58499999997</v>
      </c>
      <c r="AN16" s="760">
        <f ca="1">Tab_NewTRADER[[#This Row],[M]]*Tab_NewTRADER[[#This Row],[N]]*(1-Commission)*Tab_NewTRADER[[#This Row],[Scale]]</f>
        <v>188633.27499999999</v>
      </c>
      <c r="AO16" s="1186" cm="1">
        <f t="array" aca="1" ref="AO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0.29365079365079361</v>
      </c>
      <c r="AP16" s="1186" t="str" cm="1">
        <f t="array" aca="1" ref="AP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Tab_NewTRADER[[#This Row],[Trap_vs_Last]]=SellMorePercentGain,                     MIN(Tab_NewTRADER[[#This Row],[L_Sn]],Tab_NewTRADER[[#This Row],[N]])*(Tab_NewTRADER[[#This Row],[M]]-Tab_NewTRADER[[#This Row],[L_Sp]])*(1-Commission)*Tab_NewTRADER[[#This Row],[Scale]],                    TRUE,"")</f>
        <v/>
      </c>
      <c r="AR16" s="1175">
        <f ca="1">_xlfn.XLOOKUP(Tab_NewTRADER[[#This Row],[ClickTick]],TabCalc[Ticker],TabCalc[Ann%RevLB])</f>
        <v>0.33354903229601762</v>
      </c>
      <c r="AS16" s="1282">
        <f ca="1">_xlfn.XLOOKUP(Tab_NewTRADER[[#This Row],[ClickTick]],TabCalc[Ticker],TabCalc[Up20])</f>
        <v>0.35714285714285715</v>
      </c>
      <c r="AT16" s="1187" t="str" cm="1">
        <f t="array" aca="1" ref="AT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6" s="825" t="str" cm="1">
        <f t="array" aca="1" ref="AU16" ca="1">_xlfn.IFS(         Tab_NewTRADER[[#This Row],[Trap_vs_Last]]=MDown,Tab_NewTRADER[[#This Row],[L_Bn]]*Tab_NewTRADER[[#This Row],[M]]*(-(Tab_NewTRADER[[#This Row],[L_Bp]]+Tab_NewTRADER[[#This Row],[M]])/Tab_NewTRADER[[#This Row],[M]])*(1-Commission)*Tab_NewTRADER[[#This Row],[Scale]],                               TRUE,"")</f>
        <v/>
      </c>
      <c r="AV16" s="1186" t="str" cm="1">
        <f t="array" aca="1" ref="AV16" ca="1">_xlfn.IFS(   Tab_NewTRADER[[#This Row],[Trap_vs_Last]]=MUp,Tab_NewTRADER[[#This Row],[TakeGain_A]]-Commission,        Tab_NewTRADER[[#This Row],[Trap_vs_Last]]=MDown,(Tab_NewTRADER[[#This Row],[A]]-Tab_NewTRADER[[#This Row],[M]])/Tab_NewTRADER[[#This Row],[M]]-Commission,                              TRUE,"")</f>
        <v/>
      </c>
      <c r="AW16" s="825" cm="1">
        <f t="array" aca="1" ref="AW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-64606.58499999997</v>
      </c>
      <c r="AX16" s="760" t="str" cm="1">
        <f t="array" aca="1" ref="AX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16" s="736" t="str" cm="1">
        <f t="array" aca="1" ref="AY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6" s="765" cm="1">
        <f t="array" aca="1" ref="AZ16" ca="1">_xlfn.IFS(Tab_NewTRADER[[#This Row],[Trap_vs_Last]]=ReSaleGain,"",         Tab_NewTRADER[[#This Row],[Trap_vs_Last]]=MDown, (Tab_NewTRADER[[#This Row],[M]]-Tab_NewTRADER[[#This Row],[A]])/Tab_NewTRADER[[#This Row],[A]]*ComFactor,             TRUE, IFERROR((Tab_NewTRADER[[#This Row],[M]]-Tab_NewTRADER[[#This Row],[A]])/Tab_NewTRADER[[#This Row],[A]]*ComFactor,""))</f>
        <v>-0.25445681370618345</v>
      </c>
      <c r="BA16" s="762" cm="1">
        <f t="array" aca="1" ref="BA16" ca="1">_xlfn.IFS(               Tab_NewTRADER[[#This Row],[Trap_vs_Last]]=NoStock,(Tab_NewTRADER[[#This Row],[L_Sp]]-Tab_NewTRADER[[#This Row],[M]])/Tab_NewTRADER[[#This Row],[M]]-Commission,             Tab_NewTRADER[[#This Row],[A]]&lt;&gt;0,(Tab_NewTRADER[[#This Row],[A]]-Tab_NewTRADER[[#This Row],[M]])/Tab_NewTRADER[[#This Row],[M]]-Commission)</f>
        <v>0.33989834765366805</v>
      </c>
      <c r="BB16" s="324">
        <f ca="1">_xlfn.XLOOKUP(Tab_NewTRADER[[#This Row],[ClickTick]],TabCalc[Ticker],TabCalc[L_Sn])</f>
        <v>10000</v>
      </c>
      <c r="BC16" s="728">
        <f ca="1">_xlfn.XLOOKUP(Tab_NewTRADER[[#This Row],[ClickTick]],TabCalc[Ticker],TabCalc[L_Sp])</f>
        <v>3.15</v>
      </c>
      <c r="BD16" s="764">
        <f ca="1">-IFERROR((Tab_NewTRADER[[#This Row],[M]]-Tab_NewTRADER[[#This Row],[L_Sp]])/Tab_NewTRADER[[#This Row],[L_Sp]],0)</f>
        <v>0.29365079365079361</v>
      </c>
      <c r="BE16" s="729">
        <f ca="1">MIN(Tab_NewTRADER[[#This Row],[L_Sn]],Tab_NewTRADER[[#This Row],[N]])*(Tab_NewTRADER[[#This Row],[M]]-Tab_NewTRADER[[#This Row],[L_Sp]])*(1-Commission)*Tab_NewTRADER[[#This Row],[Scale]]</f>
        <v>-9225.9499999999971</v>
      </c>
      <c r="BF16" s="692">
        <f ca="1">Tab_NewTRADER[[#This Row],[L_Sn]]*(Tab_NewTRADER[[#This Row],[Agiotage]]-Tab_NewTRADER[[#This Row],[M]])/(Tab_NewTRADER[[#This Row],[L_Bn]]*Tab_NewTRADER[[#This Row],[M]])</f>
        <v>-0.37688072903893471</v>
      </c>
      <c r="BG16" s="635">
        <f ca="1">IFERROR((Tab_NewTRADER[[#This Row],[M]]-Tab_NewTRADER[[#This Row],[A]])/Tab_NewTRADER[[#This Row],[A]],0)</f>
        <v>-0.25512012603387152</v>
      </c>
      <c r="BH16" s="638" t="str">
        <f ca="1">TEXT(_xlfn.XLOOKUP(Tab_NewTRADER[[#This Row],[ClickTick]],TabCalc[Ticker],TabCalc[NAfter]),"#,#0")&amp;" : "&amp;TEXT(_xlfn.XLOOKUP(Tab_NewTRADER[[#This Row],[ClickTick]],TabCalc[Ticker],TabCalc[NAfter])*(Tab_NewTRADER[[#This Row],[M]]-Tab_NewTRADER[[#This Row],[A]])*(1-Commission)*Tab_NewTRADER[[#This Row],[Scale]],"#,#0$")</f>
        <v>85,000 : -64,607$</v>
      </c>
      <c r="BI16" s="684">
        <f ca="1">_xlfn.XLOOKUP(Tab_NewTRADER[[#This Row],[ClickTick]],TabCalc[[#This Row],[Ticker]],TabCalc[[#This Row],[GL]])*(1-Commission)</f>
        <v>-322648.42729999998</v>
      </c>
      <c r="BJ16" s="684"/>
      <c r="BK16" s="669" t="str">
        <f ca="1">Tab_NewTRADER[[#This Row],[ClickTick]]&amp;": "&amp;_xlfn.XLOOKUP(Tab_NewTRADER[[#This Row],[ClickTick]],TabCalc[Ticker],TabCalc[Pile?])</f>
        <v xml:space="preserve">DDD: </v>
      </c>
      <c r="BL16" s="351" t="s">
        <v>2061</v>
      </c>
      <c r="BM16" s="755" t="str" cm="1">
        <f t="array" aca="1" ref="BM16" ca="1">_xlfn.TEXTJOIN("",,INDEX({"M","A","Y"}, _xlfn.SORTBY({1,2,3}, -CHOOSE({1,2,3}, Tab_NewTRADER[[#This Row],[M]], Tab_NewTRADER[[#This Row],[A]], Tab_NewTRADER[[#This Row],[Agiotage]]))))</f>
        <v>AMY</v>
      </c>
      <c r="BN16" s="909" t="str" cm="1">
        <f t="array" aca="1" ref="BN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6" s="679" t="e">
        <f ca="1">Tab_NewTRADER[[#This Row],[L_Sn]]*Tab_NewTRADER[[#This Row],[L_Sp]]+Tab_NewTRADER[[#This Row],[SellMore]]*Tab_NewTRADER[[#This Row],[M]]</f>
        <v>#N/A</v>
      </c>
      <c r="BP16" s="679" t="e">
        <f ca="1">INDEX(
  INDEX(TabConsolid[], , _xlfn.XMATCH(Tab_NewTRADER[[#This Row],[ClickTick]]&amp;1, TabConsolid[#Headers])),
  MATCH(
    -Tab_NewTRADER[[#This Row],[M]],
    INDEX(TabConsolid[], , _xlfn.XMATCH(Tab_NewTRADER[[#This Row],[ClickTick]]&amp;2, TabConsolid[#Headers])),
    -1
  )
)</f>
        <v>#N/A</v>
      </c>
      <c r="BQ16" s="679" cm="1">
        <f t="array" aca="1" ref="BQ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16" s="1156" t="e">
        <f ca="1">Tab_NewTRADER[[#This Row],[ReBuy]]/(Tab_NewTRADER[[#This Row],[L_Sn]]+Tab_NewTRADER[[#This Row],[SellMore]])</f>
        <v>#N/A</v>
      </c>
      <c r="BS16" s="687">
        <f ca="1">((_xlfn.XLOOKUP(Tab_NewTRADER[[#This Row],[ClickTick]],TabCalc[Ticker],TabCalc[NAfter])+Tab_NewTRADER[[#This Row],[L_Sn]])*(Tab_NewTRADER[[#This Row],[Agiotage]]-Tab_NewTRADER[[#This Row],[M]]))/(Tab_NewTRADER[[#This Row],[L_Sn]]*_xlfn.XLOOKUP(Tab_NewTRADER[[#This Row],[ClickTick]],TabCalc[Ticker],TabCalc[NAfter]))</f>
        <v>-1.8744273906024663E-4</v>
      </c>
      <c r="BT16" s="687">
        <f ca="1">(Tab_NewTRADER[[#This Row],[M]]-Tab_NewTRADER[[#This Row],[Agiotage]])/(Tab_NewTRADER[[#This Row],[M]]-Tab_NewTRADER[[#This Row],[A]])-1</f>
        <v>-3.2007739985947832</v>
      </c>
      <c r="BU16" s="1277">
        <f ca="1">_xlfn.XMATCH(Tab_NewTRADER[[#This Row],[ClickTick]]&amp;1, TabConsolid[#Headers])</f>
        <v>41</v>
      </c>
      <c r="BV16" t="b">
        <f ca="1">IF(ABS(Tab_NewTRADER[[#This Row],[L_Bp]])&gt;=Tab_NewTRADER[[#This Row],[M]],"OK")</f>
        <v>0</v>
      </c>
    </row>
    <row r="17" spans="1:74"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-4,134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1,160$</v>
      </c>
      <c r="G17" s="225" t="str">
        <f ca="1">IFERROR(TRUNC(_xlfn.XLOOKUP(Tab_NewTRADER[[#This Row],[ClickTick]],TabCalc[Ticker],ListLastSalep),2)&amp;"x"&amp;_xlfn.XLOOKUP(Tab_NewTRADER[[#This Row],[ClickTick]],TabCalc[Ticker],ListLastSalen)&amp;"=   "&amp;TEXT(-_xlfn.XLOOKUP(Tab_NewTRADER[[#This Row],[ClickTick]],TabCalc[Ticker],ListReverseB),"#,#0")&amp;"$","")</f>
        <v>119.38x800=   -6,920$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7.8% = 578</v>
      </c>
      <c r="I17" s="226" t="str">
        <f ca="1">IFERROR(TRUNC(TabCalc[[#This Row],[L_S1p]],2)&amp;"x"&amp;TabCalc[[#This Row],[L_S1n]]&amp;"=   "&amp;TEXT(TabCalc[[#This Row],[ReverseB1]],"#,#0"),"")</f>
        <v>117.4x400=   2,668</v>
      </c>
      <c r="J17" s="295">
        <f ca="1">_xlfn.XLOOKUP(Tab_NewTRADER[[#This Row],[ClickTick]],TabCalc[Ticker],ListGravity)</f>
        <v>1.2108046599837441</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71974.5</v>
      </c>
      <c r="M17" s="323">
        <f ca="1">_xlfn.XLOOKUP(Tab_NewTRADER[[#This Row],[ClickTick]],TabCalc[Ticker],TabCalc[Agiotage])</f>
        <v>0.86820077434090825</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-4.4586811622338615E-2</v>
      </c>
      <c r="S17" s="683">
        <f ca="1">_xlfn.XLOOKUP(Tab_NewTRADER[[#This Row],[ClickTick]],TabCalc[Ticker],TabCalc[Rev(MinStock)])*(1-Commission)</f>
        <v>-4123.2515999999914</v>
      </c>
      <c r="T17" s="782">
        <f ca="1">_xlfn.XLOOKUP(Tab_NewTRADER[[#This Row],[ClickTick]],TabCalc[Ticker],TabCalc[Agiotage])</f>
        <v>0.86820077434090825</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380/380=&gt;0.2% / 0.2%</v>
      </c>
      <c r="V17" s="739" t="str">
        <f ca="1">_xlfn.XLOOKUP(Tab_NewTRADER[[#This Row],[ClickTick]],[1]!RTData[Ticker_Symbol],[1]!RTData[Currency])</f>
        <v>USD</v>
      </c>
      <c r="W17" s="749">
        <f ca="1">_xlfn.XLOOKUP(Tab_NewTRADER[[#This Row],[ClickTick]],TabCalc[Ticker],TabCalc[M])</f>
        <v>110.73</v>
      </c>
      <c r="X17" s="1343"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 / 111 K$</v>
      </c>
      <c r="AE17" s="1195" t="str" cm="1">
        <f t="array" aca="1" ref="AE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7" s="1177" t="str" cm="1">
        <f t="array" aca="1" ref="AF17" ca="1">_xlfn.IFS(       Tab_NewTRADER[[#This Row],[Trap_vs_Last]]=RePurchaseGain,TEXT(Tab_NewTRADER[[#This Row],[L_Sn]],"#,#0")&amp;" x "&amp;TEXT(Tab_NewTRADER[[#This Row],[L_Sp]],"#,#0.#0"),     Tab_NewTRADER[[#This Row],[Trap_vs_Last]]=ReSaleGain,Tab_NewTRADER[[#This Row],[ToSell]],               TRUE,"")</f>
        <v/>
      </c>
      <c r="AG17" s="1177" t="str" cm="1">
        <f t="array" aca="1" ref="AG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H17" s="1370" t="str">
        <f ca="1">TEXT(MIN(Tab_NewTRADER[[#This Row],[L_Bn]],Tab_NewTRADER[[#This Row],[N]]),"#,#0")&amp;" x "&amp;TEXT(Tab_NewTRADER[[#This Row],[L_Bp]],"#,#0.#0")</f>
        <v>800 x -115.90</v>
      </c>
      <c r="AI17" s="1370">
        <f ca="1">IF(Tab_NewTRADER[[#This Row],[M]]&lt;_xlfn.XLOOKUP(Tab_NewTRADER[[#This Row],[ClickTick]],TabCalc[Ticker],TabCalc[Max_Buy_P]), 0,Tab_NewTRADER[[#This Row],[Sale_Back_$]])</f>
        <v>0</v>
      </c>
      <c r="AJ17" s="1370" t="str">
        <f ca="1">TEXT(Tab_NewTRADER[[#This Row],[L_Sn]],"#,#0")&amp;" ("&amp;Tab_NewTRADER[[#This Row],[M]]&amp;"/"&amp;TEXT(Tab_NewTRADER[[#This Row],[L_Sp]],"#,#0.#0)")</f>
        <v>800 (110.73/119.38)</v>
      </c>
      <c r="AK17" s="1370">
        <f ca="1">IF(Tab_NewTRADER[[#This Row],[M]]&lt;_xlfn.XLOOKUP(Tab_NewTRADER[[#This Row],[ClickTick]],TabCalc[Ticker],TabCalc[Max_Buy_P]), -Tab_NewTRADER[[#This Row],[Buy_Back]], 0)</f>
        <v>6902.0079999999925</v>
      </c>
      <c r="AL17" s="1177" cm="1">
        <f t="array" aca="1" ref="AL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4123.2515999999914</v>
      </c>
      <c r="AM17" s="1177">
        <f ca="1">Tab_NewTRADER[[#This Row],[N]]*(Tab_NewTRADER[[#This Row],[M]]-Tab_NewTRADER[[#This Row],[A]])*(1-Commission)*Tab_NewTRADER[[#This Row],[Scale]]</f>
        <v>-3834.005599999994</v>
      </c>
      <c r="AN17" s="1177">
        <f ca="1">Tab_NewTRADER[[#This Row],[M]]*Tab_NewTRADER[[#This Row],[N]]*(1-Commission)*Tab_NewTRADER[[#This Row],[Scale]]</f>
        <v>110442.102</v>
      </c>
      <c r="AO17" s="1186" cm="1">
        <f t="array" aca="1" ref="AO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3.3550369193708816E-2</v>
      </c>
      <c r="AP17" s="1186" cm="1">
        <f t="array" aca="1" ref="AP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4.406756976429143E-2</v>
      </c>
      <c r="AQ17" s="825" t="str" cm="1">
        <f t="array" aca="1" ref="AQ17" ca="1">_xlfn.IFS(   Tab_NewTRADER[[#This Row],[Trap_vs_Last]]=SellMorePercentGain,                     MIN(Tab_NewTRADER[[#This Row],[L_Sn]],Tab_NewTRADER[[#This Row],[N]])*(Tab_NewTRADER[[#This Row],[M]]-Tab_NewTRADER[[#This Row],[L_Sp]])*(1-Commission)*Tab_NewTRADER[[#This Row],[Scale]],                    TRUE,"")</f>
        <v/>
      </c>
      <c r="AR17" s="1192">
        <f ca="1">_xlfn.XLOOKUP(Tab_NewTRADER[[#This Row],[ClickTick]],TabCalc[Ticker],TabCalc[Ann%RevLB])</f>
        <v>-0.27674572731106728</v>
      </c>
      <c r="AS17" s="1281">
        <f ca="1">_xlfn.XLOOKUP(Tab_NewTRADER[[#This Row],[ClickTick]],TabCalc[Ticker],TabCalc[Up20])</f>
        <v>0</v>
      </c>
      <c r="AT17" s="1187" cm="1">
        <f t="array" aca="1" ref="AT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4.6667569764291428E-2</v>
      </c>
      <c r="AU17" s="825" cm="1">
        <f t="array" aca="1" ref="AU17" ca="1">_xlfn.IFS(         Tab_NewTRADER[[#This Row],[Trap_vs_Last]]=MDown,Tab_NewTRADER[[#This Row],[L_Bn]]*Tab_NewTRADER[[#This Row],[M]]*(-(Tab_NewTRADER[[#This Row],[L_Bp]]+Tab_NewTRADER[[#This Row],[M]])/Tab_NewTRADER[[#This Row],[M]])*(1-Commission)*Tab_NewTRADER[[#This Row],[Scale]],                               TRUE,"")</f>
        <v>4123.2515999999914</v>
      </c>
      <c r="AV17" s="1186" cm="1">
        <f t="array" aca="1" ref="AV17" ca="1">_xlfn.IFS(   Tab_NewTRADER[[#This Row],[Trap_vs_Last]]=MUp,Tab_NewTRADER[[#This Row],[TakeGain_A]]-Commission,        Tab_NewTRADER[[#This Row],[Trap_vs_Last]]=MDown,(Tab_NewTRADER[[#This Row],[A]]-Tab_NewTRADER[[#This Row],[M]])/Tab_NewTRADER[[#This Row],[M]]-Commission,                              TRUE,"")</f>
        <v>3.2115072699358746E-2</v>
      </c>
      <c r="AW17" s="760" cm="1">
        <f t="array" aca="1" ref="AW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3834.005599999994</v>
      </c>
      <c r="AX17" s="760" t="str" cm="1">
        <f t="array" aca="1" ref="AX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17" s="736" cm="1">
        <f t="array" aca="1" ref="AY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-5.16</v>
      </c>
      <c r="AZ17" s="765" cm="1">
        <f t="array" aca="1" ref="AZ17" ca="1">_xlfn.IFS(Tab_NewTRADER[[#This Row],[Trap_vs_Last]]=ReSaleGain,"",         Tab_NewTRADER[[#This Row],[Trap_vs_Last]]=MDown, (Tab_NewTRADER[[#This Row],[M]]-Tab_NewTRADER[[#This Row],[A]])/Tab_NewTRADER[[#This Row],[A]]*ComFactor,             TRUE, IFERROR((Tab_NewTRADER[[#This Row],[M]]-Tab_NewTRADER[[#This Row],[A]])/Tab_NewTRADER[[#This Row],[A]]*ComFactor,""))</f>
        <v>-3.3463138233805173E-2</v>
      </c>
      <c r="BA17" s="762" cm="1">
        <f t="array" aca="1" ref="BA17" ca="1">_xlfn.IFS(               Tab_NewTRADER[[#This Row],[Trap_vs_Last]]=NoStock,(Tab_NewTRADER[[#This Row],[L_Sp]]-Tab_NewTRADER[[#This Row],[M]])/Tab_NewTRADER[[#This Row],[M]]-Commission,             Tab_NewTRADER[[#This Row],[A]]&lt;&gt;0,(Tab_NewTRADER[[#This Row],[A]]-Tab_NewTRADER[[#This Row],[M]])/Tab_NewTRADER[[#This Row],[M]]-Commission)</f>
        <v>3.2115072699358746E-2</v>
      </c>
      <c r="BB17" s="324">
        <f ca="1">_xlfn.XLOOKUP(Tab_NewTRADER[[#This Row],[ClickTick]],TabCalc[Ticker],TabCalc[L_Sn])</f>
        <v>800</v>
      </c>
      <c r="BC17" s="728">
        <f ca="1">_xlfn.XLOOKUP(Tab_NewTRADER[[#This Row],[ClickTick]],TabCalc[Ticker],TabCalc[L_Sp])</f>
        <v>119.38</v>
      </c>
      <c r="BD17" s="764">
        <f ca="1">-IFERROR((Tab_NewTRADER[[#This Row],[M]]-Tab_NewTRADER[[#This Row],[L_Sp]])/Tab_NewTRADER[[#This Row],[L_Sp]],0)</f>
        <v>7.2457698106885501E-2</v>
      </c>
      <c r="BE17" s="729">
        <f ca="1">MIN(Tab_NewTRADER[[#This Row],[L_Sn]],Tab_NewTRADER[[#This Row],[N]])*(Tab_NewTRADER[[#This Row],[M]]-Tab_NewTRADER[[#This Row],[L_Sp]])*(1-Commission)*Tab_NewTRADER[[#This Row],[Scale]]</f>
        <v>-6902.0079999999925</v>
      </c>
      <c r="BF17" s="692">
        <f ca="1">Tab_NewTRADER[[#This Row],[L_Sn]]*(Tab_NewTRADER[[#This Row],[Agiotage]]-Tab_NewTRADER[[#This Row],[M]])/(Tab_NewTRADER[[#This Row],[L_Bn]]*Tab_NewTRADER[[#This Row],[M]])</f>
        <v>-0.99215929942796988</v>
      </c>
      <c r="BG17" s="635">
        <f ca="1">IFERROR((Tab_NewTRADER[[#This Row],[M]]-Tab_NewTRADER[[#This Row],[A]])/Tab_NewTRADER[[#This Row],[A]],0)</f>
        <v>-3.3550369193708816E-2</v>
      </c>
      <c r="BH17" s="638" t="str">
        <f ca="1">TEXT(_xlfn.XLOOKUP(Tab_NewTRADER[[#This Row],[ClickTick]],TabCalc[Ticker],TabCalc[NAfter]),"#,#0")&amp;" : "&amp;TEXT(_xlfn.XLOOKUP(Tab_NewTRADER[[#This Row],[ClickTick]],TabCalc[Ticker],TabCalc[NAfter])*(Tab_NewTRADER[[#This Row],[M]]-Tab_NewTRADER[[#This Row],[A]])*(1-Commission)*Tab_NewTRADER[[#This Row],[Scale]],"#,#0$")</f>
        <v>1,000 : -3,834$</v>
      </c>
      <c r="BI17" s="684">
        <f ca="1">_xlfn.XLOOKUP(Tab_NewTRADER[[#This Row],[ClickTick]],TabCalc[[#This Row],[Ticker]],TabCalc[[#This Row],[GL]])*(1-Commission)</f>
        <v>18983.003531199953</v>
      </c>
      <c r="BJ17" s="684"/>
      <c r="BK17" s="669" t="str">
        <f ca="1">Tab_NewTRADER[[#This Row],[ClickTick]]&amp;": "&amp;_xlfn.XLOOKUP(Tab_NewTRADER[[#This Row],[ClickTick]],TabCalc[Ticker],TabCalc[Pile?])</f>
        <v xml:space="preserve">DIS: </v>
      </c>
      <c r="BL17" s="351" t="s">
        <v>2007</v>
      </c>
      <c r="BM17" s="755" t="str" cm="1">
        <f t="array" aca="1" ref="BM17" ca="1">_xlfn.TEXTJOIN("",,INDEX({"M","A","Y"}, _xlfn.SORTBY({1,2,3}, -CHOOSE({1,2,3}, Tab_NewTRADER[[#This Row],[M]], Tab_NewTRADER[[#This Row],[A]], Tab_NewTRADER[[#This Row],[Agiotage]]))))</f>
        <v>AMY</v>
      </c>
      <c r="BN17" s="909" cm="1">
        <f t="array" aca="1" ref="BN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4.6667569764291428E-2</v>
      </c>
      <c r="BO17" s="679" t="e">
        <f ca="1">Tab_NewTRADER[[#This Row],[L_Sn]]*Tab_NewTRADER[[#This Row],[L_Sp]]+Tab_NewTRADER[[#This Row],[SellMore]]*Tab_NewTRADER[[#This Row],[M]]</f>
        <v>#N/A</v>
      </c>
      <c r="BP17" s="679" t="e">
        <f ca="1">INDEX(
  INDEX(TabConsolid[], , _xlfn.XMATCH(Tab_NewTRADER[[#This Row],[ClickTick]]&amp;1, TabConsolid[#Headers])),
  MATCH(
    -Tab_NewTRADER[[#This Row],[M]],
    INDEX(TabConsolid[], , _xlfn.XMATCH(Tab_NewTRADER[[#This Row],[ClickTick]]&amp;2, TabConsolid[#Headers])),
    -1
  )
)</f>
        <v>#N/A</v>
      </c>
      <c r="BQ17" s="679" cm="1">
        <f t="array" aca="1" ref="BQ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17" s="1156" t="e">
        <f ca="1">Tab_NewTRADER[[#This Row],[ReBuy]]/(Tab_NewTRADER[[#This Row],[L_Sn]]+Tab_NewTRADER[[#This Row],[SellMore]])</f>
        <v>#N/A</v>
      </c>
      <c r="BS17" s="687">
        <f ca="1">((_xlfn.XLOOKUP(Tab_NewTRADER[[#This Row],[ClickTick]],TabCalc[Ticker],TabCalc[NAfter])+Tab_NewTRADER[[#This Row],[L_Sn]])*(Tab_NewTRADER[[#This Row],[Agiotage]]-Tab_NewTRADER[[#This Row],[M]]))/(Tab_NewTRADER[[#This Row],[L_Sn]]*_xlfn.XLOOKUP(Tab_NewTRADER[[#This Row],[ClickTick]],TabCalc[Ticker],TabCalc[NAfter]))</f>
        <v>-0.24718904825773297</v>
      </c>
      <c r="BT17" s="687">
        <f ca="1">(Tab_NewTRADER[[#This Row],[M]]-Tab_NewTRADER[[#This Row],[Agiotage]])/(Tab_NewTRADER[[#This Row],[M]]-Tab_NewTRADER[[#This Row],[A]])-1</f>
        <v>-29.580072639349446</v>
      </c>
      <c r="BU17" s="1277">
        <f ca="1">_xlfn.XMATCH(Tab_NewTRADER[[#This Row],[ClickTick]]&amp;1, TabConsolid[#Headers])</f>
        <v>44</v>
      </c>
      <c r="BV17" t="str">
        <f ca="1">IF(ABS(Tab_NewTRADER[[#This Row],[L_Bp]])&gt;=Tab_NewTRADER[[#This Row],[M]],"OK")</f>
        <v>OK</v>
      </c>
    </row>
    <row r="18" spans="1:74"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-6,600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-14.1%</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-3,805$</v>
      </c>
      <c r="G18" s="225" t="str">
        <f ca="1">IFERROR(TRUNC(_xlfn.XLOOKUP(Tab_NewTRADER[[#This Row],[ClickTick]],TabCalc[Ticker],ListLastSalep),2)&amp;"x"&amp;_xlfn.XLOOKUP(Tab_NewTRADER[[#This Row],[ClickTick]],TabCalc[Ticker],ListLastSalen)&amp;"=   "&amp;TEXT(-_xlfn.XLOOKUP(Tab_NewTRADER[[#This Row],[ClickTick]],TabCalc[Ticker],ListReverseB),"#,#0")&amp;"$","")</f>
        <v>29.14x2000=   -11,600$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24.9% = 862</v>
      </c>
      <c r="I18" s="226" t="str">
        <f ca="1">IFERROR(TRUNC(TabCalc[[#This Row],[L_S1p]],2)&amp;"x"&amp;TabCalc[[#This Row],[L_S1n]]&amp;"=   "&amp;TEXT(TabCalc[[#This Row],[ReverseB1]],"#,#0"),"")</f>
        <v>38.69x500=   7,675</v>
      </c>
      <c r="J18" s="295">
        <f ca="1">_xlfn.XLOOKUP(Tab_NewTRADER[[#This Row],[ClickTick]],TabCalc[Ticker],ListGravity)</f>
        <v>1.3658003427592118</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87525</v>
      </c>
      <c r="M18" s="323">
        <f ca="1">_xlfn.XLOOKUP(Tab_NewTRADER[[#This Row],[ClickTick]],TabCalc[Ticker],TabCalc[Agiotage])</f>
        <v>0.97018179551316519</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-0.1238738738738739</v>
      </c>
      <c r="S18" s="683">
        <f ca="1">_xlfn.XLOOKUP(Tab_NewTRADER[[#This Row],[ClickTick]],TabCalc[Ticker],TabCalc[Rev(MinStock)])*(1-Commission)</f>
        <v>-6582.8400000000011</v>
      </c>
      <c r="T18" s="782">
        <f ca="1">_xlfn.XLOOKUP(Tab_NewTRADER[[#This Row],[ClickTick]],TabCalc[Ticker],TabCalc[Agiotage])</f>
        <v>0.97018179551316519</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18" s="739" t="str">
        <f ca="1">_xlfn.XLOOKUP(Tab_NewTRADER[[#This Row],[ClickTick]],[1]!RTData[Ticker_Symbol],[1]!RTData[Currency])</f>
        <v>EUR</v>
      </c>
      <c r="W18" s="749">
        <f ca="1">_xlfn.XLOOKUP(Tab_NewTRADER[[#This Row],[ClickTick]],TabCalc[Ticker],TabCalc[M])</f>
        <v>23.34</v>
      </c>
      <c r="X18" s="1343"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-12/93 K$</v>
      </c>
      <c r="AE18" s="1195" t="str" cm="1">
        <f t="array" aca="1" ref="AE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8" s="1177" t="str" cm="1">
        <f t="array" aca="1" ref="AF18" ca="1">_xlfn.IFS(       Tab_NewTRADER[[#This Row],[Trap_vs_Last]]=RePurchaseGain,TEXT(Tab_NewTRADER[[#This Row],[L_Sn]],"#,#0")&amp;" x "&amp;TEXT(Tab_NewTRADER[[#This Row],[L_Sp]],"#,#0.#0"),     Tab_NewTRADER[[#This Row],[Trap_vs_Last]]=ReSaleGain,Tab_NewTRADER[[#This Row],[ToSell]],               TRUE,"")</f>
        <v>2,000 x 29.14</v>
      </c>
      <c r="AG18" s="1177" cm="1">
        <f t="array" aca="1" ref="AG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11569.840000000002</v>
      </c>
      <c r="AH18" s="1370" t="str">
        <f ca="1">TEXT(MIN(Tab_NewTRADER[[#This Row],[L_Bn]],Tab_NewTRADER[[#This Row],[N]]),"#,#0")&amp;" x "&amp;TEXT(Tab_NewTRADER[[#This Row],[L_Bp]],"#,#0.#0")</f>
        <v>2,000 x -26.64</v>
      </c>
      <c r="AI18" s="1370">
        <f ca="1">IF(Tab_NewTRADER[[#This Row],[M]]&lt;_xlfn.XLOOKUP(Tab_NewTRADER[[#This Row],[ClickTick]],TabCalc[Ticker],TabCalc[Max_Buy_P]), 0,Tab_NewTRADER[[#This Row],[Sale_Back_$]])</f>
        <v>0</v>
      </c>
      <c r="AJ18" s="1370" t="str">
        <f ca="1">TEXT(Tab_NewTRADER[[#This Row],[L_Sn]],"#,#0")&amp;" ("&amp;Tab_NewTRADER[[#This Row],[M]]&amp;"/"&amp;TEXT(Tab_NewTRADER[[#This Row],[L_Sp]],"#,#0.#0)")</f>
        <v>2,000 (23.34/29.14)</v>
      </c>
      <c r="AK18" s="1370">
        <f ca="1">IF(Tab_NewTRADER[[#This Row],[M]]&lt;_xlfn.XLOOKUP(Tab_NewTRADER[[#This Row],[ClickTick]],TabCalc[Ticker],TabCalc[Max_Buy_P]), -Tab_NewTRADER[[#This Row],[Buy_Back]], 0)</f>
        <v>11569.840000000002</v>
      </c>
      <c r="AL18" s="1177" t="str" cm="1">
        <f t="array" aca="1" ref="AL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8" s="1177">
        <f ca="1">Tab_NewTRADER[[#This Row],[N]]*(Tab_NewTRADER[[#This Row],[M]]-Tab_NewTRADER[[#This Row],[A]])*(1-Commission)*Tab_NewTRADER[[#This Row],[Scale]]</f>
        <v>-26859.982000000007</v>
      </c>
      <c r="AN18" s="1177">
        <f ca="1">Tab_NewTRADER[[#This Row],[M]]*Tab_NewTRADER[[#This Row],[N]]*(1-Commission)*Tab_NewTRADER[[#This Row],[Scale]]</f>
        <v>93117.263999999996</v>
      </c>
      <c r="AO18" s="1186" cm="1">
        <f t="array" aca="1" ref="AO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0.1990391214824983</v>
      </c>
      <c r="AP18" s="1186" t="str" cm="1">
        <f t="array" aca="1" ref="AP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Tab_NewTRADER[[#This Row],[Trap_vs_Last]]=SellMorePercentGain,                     MIN(Tab_NewTRADER[[#This Row],[L_Sn]],Tab_NewTRADER[[#This Row],[N]])*(Tab_NewTRADER[[#This Row],[M]]-Tab_NewTRADER[[#This Row],[L_Sp]])*(1-Commission)*Tab_NewTRADER[[#This Row],[Scale]],                    TRUE,"")</f>
        <v/>
      </c>
      <c r="AR18" s="1175">
        <f ca="1">_xlfn.XLOOKUP(Tab_NewTRADER[[#This Row],[ClickTick]],TabCalc[Ticker],TabCalc[Ann%RevLB])</f>
        <v>-0.52464228934817181</v>
      </c>
      <c r="AS18" s="1282">
        <f ca="1">_xlfn.XLOOKUP(Tab_NewTRADER[[#This Row],[ClickTick]],TabCalc[Ticker],TabCalc[Up20])</f>
        <v>0</v>
      </c>
      <c r="AT18" s="1187" t="str" cm="1">
        <f t="array" aca="1" ref="AT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8" s="825" t="str" cm="1">
        <f t="array" aca="1" ref="AU18" ca="1">_xlfn.IFS(         Tab_NewTRADER[[#This Row],[Trap_vs_Last]]=MDown,Tab_NewTRADER[[#This Row],[L_Bn]]*Tab_NewTRADER[[#This Row],[M]]*(-(Tab_NewTRADER[[#This Row],[L_Bp]]+Tab_NewTRADER[[#This Row],[M]])/Tab_NewTRADER[[#This Row],[M]])*(1-Commission)*Tab_NewTRADER[[#This Row],[Scale]],                               TRUE,"")</f>
        <v/>
      </c>
      <c r="AV18" s="1186" t="str" cm="1">
        <f t="array" aca="1" ref="AV18" ca="1">_xlfn.IFS(   Tab_NewTRADER[[#This Row],[Trap_vs_Last]]=MUp,Tab_NewTRADER[[#This Row],[TakeGain_A]]-Commission,        Tab_NewTRADER[[#This Row],[Trap_vs_Last]]=MDown,(Tab_NewTRADER[[#This Row],[A]]-Tab_NewTRADER[[#This Row],[M]])/Tab_NewTRADER[[#This Row],[M]]-Commission,                              TRUE,"")</f>
        <v/>
      </c>
      <c r="AW18" s="760" cm="1">
        <f t="array" aca="1" ref="AW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-26859.982000000007</v>
      </c>
      <c r="AX18" s="760" t="str" cm="1">
        <f t="array" aca="1" ref="AX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18" s="736" t="str" cm="1">
        <f t="array" aca="1" ref="AY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8" s="765" cm="1">
        <f t="array" aca="1" ref="AZ18" ca="1">_xlfn.IFS(Tab_NewTRADER[[#This Row],[Trap_vs_Last]]=ReSaleGain,"",         Tab_NewTRADER[[#This Row],[Trap_vs_Last]]=MDown, (Tab_NewTRADER[[#This Row],[M]]-Tab_NewTRADER[[#This Row],[A]])/Tab_NewTRADER[[#This Row],[A]]*ComFactor,             TRUE, IFERROR((Tab_NewTRADER[[#This Row],[M]]-Tab_NewTRADER[[#This Row],[A]])/Tab_NewTRADER[[#This Row],[A]]*ComFactor,""))</f>
        <v>-0.22329355723667807</v>
      </c>
      <c r="BA18" s="762" cm="1">
        <f t="array" aca="1" ref="BA18" ca="1">_xlfn.IFS(               Tab_NewTRADER[[#This Row],[Trap_vs_Last]]=NoStock,(Tab_NewTRADER[[#This Row],[L_Sp]]-Tab_NewTRADER[[#This Row],[M]])/Tab_NewTRADER[[#This Row],[M]]-Commission,             Tab_NewTRADER[[#This Row],[A]]&lt;&gt;0,(Tab_NewTRADER[[#This Row],[A]]-Tab_NewTRADER[[#This Row],[M]])/Tab_NewTRADER[[#This Row],[M]]-Commission)</f>
        <v>0.28585329905741225</v>
      </c>
      <c r="BB18" s="324">
        <f ca="1">_xlfn.XLOOKUP(Tab_NewTRADER[[#This Row],[ClickTick]],TabCalc[Ticker],TabCalc[L_Sn])</f>
        <v>2000</v>
      </c>
      <c r="BC18" s="728">
        <f ca="1">_xlfn.XLOOKUP(Tab_NewTRADER[[#This Row],[ClickTick]],TabCalc[Ticker],TabCalc[L_Sp])</f>
        <v>29.14</v>
      </c>
      <c r="BD18" s="764">
        <f ca="1">-IFERROR((Tab_NewTRADER[[#This Row],[M]]-Tab_NewTRADER[[#This Row],[L_Sp]])/Tab_NewTRADER[[#This Row],[L_Sp]],0)</f>
        <v>0.1990391214824983</v>
      </c>
      <c r="BE18" s="729">
        <f ca="1">MIN(Tab_NewTRADER[[#This Row],[L_Sn]],Tab_NewTRADER[[#This Row],[N]])*(Tab_NewTRADER[[#This Row],[M]]-Tab_NewTRADER[[#This Row],[L_Sp]])*(1-Commission)*Tab_NewTRADER[[#This Row],[Scale]]</f>
        <v>-11569.840000000002</v>
      </c>
      <c r="BF18" s="692">
        <f ca="1">Tab_NewTRADER[[#This Row],[L_Sn]]*(Tab_NewTRADER[[#This Row],[Agiotage]]-Tab_NewTRADER[[#This Row],[M]])/(Tab_NewTRADER[[#This Row],[L_Bn]]*Tab_NewTRADER[[#This Row],[M]])</f>
        <v>-0.95843265657612831</v>
      </c>
      <c r="BG18" s="635">
        <f ca="1">IFERROR((Tab_NewTRADER[[#This Row],[M]]-Tab_NewTRADER[[#This Row],[A]])/Tab_NewTRADER[[#This Row],[A]],0)</f>
        <v>-0.22387563388477849</v>
      </c>
      <c r="BH18" s="638" t="str">
        <f ca="1">TEXT(_xlfn.XLOOKUP(Tab_NewTRADER[[#This Row],[ClickTick]],TabCalc[Ticker],TabCalc[NAfter]),"#,#0")&amp;" : "&amp;TEXT(_xlfn.XLOOKUP(Tab_NewTRADER[[#This Row],[ClickTick]],TabCalc[Ticker],TabCalc[NAfter])*(Tab_NewTRADER[[#This Row],[M]]-Tab_NewTRADER[[#This Row],[A]])*(1-Commission)*Tab_NewTRADER[[#This Row],[Scale]],"#,#0$")</f>
        <v>4,000 : -26,860$</v>
      </c>
      <c r="BI18" s="684">
        <f ca="1">_xlfn.XLOOKUP(Tab_NewTRADER[[#This Row],[ClickTick]],TabCalc[[#This Row],[Ticker]],TabCalc[[#This Row],[GL]])*(1-Commission)</f>
        <v>-12455.124260800061</v>
      </c>
      <c r="BJ18" s="684"/>
      <c r="BK18" s="669" t="str">
        <f ca="1">Tab_NewTRADER[[#This Row],[ClickTick]]&amp;": "&amp;_xlfn.XLOOKUP(Tab_NewTRADER[[#This Row],[ClickTick]],TabCalc[Ticker],TabCalc[Pile?])</f>
        <v>DSY: Pile</v>
      </c>
      <c r="BL18" s="351" t="s">
        <v>2048</v>
      </c>
      <c r="BM18" s="755" t="str" cm="1">
        <f t="array" aca="1" ref="BM18" ca="1">_xlfn.TEXTJOIN("",,INDEX({"M","A","Y"}, _xlfn.SORTBY({1,2,3}, -CHOOSE({1,2,3}, Tab_NewTRADER[[#This Row],[M]], Tab_NewTRADER[[#This Row],[A]], Tab_NewTRADER[[#This Row],[Agiotage]]))))</f>
        <v>AMY</v>
      </c>
      <c r="BN18" s="909" t="str" cm="1">
        <f t="array" aca="1" ref="BN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8" s="679" t="e">
        <f ca="1">Tab_NewTRADER[[#This Row],[L_Sn]]*Tab_NewTRADER[[#This Row],[L_Sp]]+Tab_NewTRADER[[#This Row],[SellMore]]*Tab_NewTRADER[[#This Row],[M]]</f>
        <v>#N/A</v>
      </c>
      <c r="BP18" s="679" t="e">
        <f ca="1">INDEX(
  INDEX(TabConsolid[], , _xlfn.XMATCH(Tab_NewTRADER[[#This Row],[ClickTick]]&amp;1, TabConsolid[#Headers])),
  MATCH(
    -Tab_NewTRADER[[#This Row],[M]],
    INDEX(TabConsolid[], , _xlfn.XMATCH(Tab_NewTRADER[[#This Row],[ClickTick]]&amp;2, TabConsolid[#Headers])),
    -1
  )
)</f>
        <v>#N/A</v>
      </c>
      <c r="BQ18" s="679" cm="1">
        <f t="array" aca="1" ref="BQ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18" s="1156" t="e">
        <f ca="1">Tab_NewTRADER[[#This Row],[ReBuy]]/(Tab_NewTRADER[[#This Row],[L_Sn]]+Tab_NewTRADER[[#This Row],[SellMore]])</f>
        <v>#N/A</v>
      </c>
      <c r="BS18" s="687">
        <f ca="1">((_xlfn.XLOOKUP(Tab_NewTRADER[[#This Row],[ClickTick]],TabCalc[Ticker],TabCalc[NAfter])+Tab_NewTRADER[[#This Row],[L_Sn]])*(Tab_NewTRADER[[#This Row],[Agiotage]]-Tab_NewTRADER[[#This Row],[M]]))/(Tab_NewTRADER[[#This Row],[L_Sn]]*_xlfn.XLOOKUP(Tab_NewTRADER[[#This Row],[ClickTick]],TabCalc[Ticker],TabCalc[NAfter]))</f>
        <v>-1.6777363653365126E-2</v>
      </c>
      <c r="BT18" s="687">
        <f ca="1">(Tab_NewTRADER[[#This Row],[M]]-Tab_NewTRADER[[#This Row],[Agiotage]])/(Tab_NewTRADER[[#This Row],[M]]-Tab_NewTRADER[[#This Row],[A]])-1</f>
        <v>-4.3226614488654782</v>
      </c>
      <c r="BU18" s="1277">
        <f ca="1">_xlfn.XMATCH(Tab_NewTRADER[[#This Row],[ClickTick]]&amp;1, TabConsolid[#Headers])</f>
        <v>47</v>
      </c>
      <c r="BV18" t="str">
        <f ca="1">IF(ABS(Tab_NewTRADER[[#This Row],[L_Bp]])&gt;=Tab_NewTRADER[[#This Row],[M]],"OK")</f>
        <v>OK</v>
      </c>
    </row>
    <row r="19" spans="1:74" ht="22"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-118.68x1600=    +6,503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-127.09x400=   -1,506$</v>
      </c>
      <c r="G19" s="225" t="str">
        <f ca="1">IFERROR(TRUNC(_xlfn.XLOOKUP(Tab_NewTRADER[[#This Row],[ClickTick]],TabCalc[Ticker],ListLastSalep),2)&amp;"x"&amp;_xlfn.XLOOKUP(Tab_NewTRADER[[#This Row],[ClickTick]],TabCalc[Ticker],ListLastSalen)&amp;"=   "&amp;TEXT(-_xlfn.XLOOKUP(Tab_NewTRADER[[#This Row],[ClickTick]],TabCalc[Ticker],ListReverseB),"#,#0")&amp;"$","")</f>
        <v>123.44x1600=   -184$</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0.1% = 43,478</v>
      </c>
      <c r="I19" s="226" t="str">
        <f ca="1">IFERROR(TRUNC(TabCalc[[#This Row],[L_S1p]],2)&amp;"x"&amp;TabCalc[[#This Row],[L_S1n]]&amp;"=   "&amp;TEXT(TabCalc[[#This Row],[ReverseB1]],"#,#0"),"")</f>
        <v>151.72x400=   11,358</v>
      </c>
      <c r="J19" s="295">
        <f ca="1">_xlfn.XLOOKUP(Tab_NewTRADER[[#This Row],[ClickTick]],TabCalc[Ticker],ListGravity)</f>
        <v>1.1929860125684169</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49330</v>
      </c>
      <c r="M19" s="323">
        <f ca="1">_xlfn.XLOOKUP(Tab_NewTRADER[[#This Row],[ClickTick]],TabCalc[Ticker],TabCalc[Agiotage])</f>
        <v>0.87413345869595827</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-118.68</v>
      </c>
      <c r="R19" s="764">
        <f ca="1">(Tab_NewTRADER[[#This Row],[M]]+Tab_NewTRADER[[#This Row],[L_Bp]])/ABS(Tab_NewTRADER[[#This Row],[L_Bp]])</f>
        <v>3.9138860802157026E-2</v>
      </c>
      <c r="S19" s="683">
        <f ca="1">_xlfn.XLOOKUP(Tab_NewTRADER[[#This Row],[ClickTick]],TabCalc[Ticker],TabCalc[Rev(MinStock)])*(1-Commission)</f>
        <v>6486.0921999999946</v>
      </c>
      <c r="T19" s="782">
        <f ca="1">_xlfn.XLOOKUP(Tab_NewTRADER[[#This Row],[ClickTick]],TabCalc[Ticker],TabCalc[Agiotage])</f>
        <v>0.87413345869595827</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3,171/3,171=&gt;1.5% / 1.5%</v>
      </c>
      <c r="V19" s="739" t="str">
        <f ca="1">_xlfn.XLOOKUP(Tab_NewTRADER[[#This Row],[ClickTick]],[1]!RTData[Ticker_Symbol],[1]!RTData[Currency])</f>
        <v>USD</v>
      </c>
      <c r="W19" s="749">
        <f ca="1">_xlfn.XLOOKUP(Tab_NewTRADER[[#This Row],[ClickTick]],TabCalc[Ticker],TabCalc[M])</f>
        <v>123.325</v>
      </c>
      <c r="X19" s="1343"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126.96610000000001</v>
      </c>
      <c r="AB19" s="817" cm="1">
        <f t="array" aca="1" ref="AB19" ca="1">_xlfn.XLOOKUP(Tab_NewTRADER[[#This Row],[ClickTick]],ListTickers,Tab1ChangePercent[Change%19])</f>
        <v>1.477E-2</v>
      </c>
      <c r="AC19" s="768">
        <f ca="1">_xlfn.XLOOKUP(Tab_NewTRADER[[#This Row],[ClickTick]],TabCalc[Ticker],TabCalc[NAfter])</f>
        <v>1400</v>
      </c>
      <c r="AD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^37 / 173 K$</v>
      </c>
      <c r="AE19" s="1195" t="str" cm="1">
        <f t="array" aca="1" ref="AE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9" s="1177" t="str" cm="1">
        <f t="array" aca="1" ref="AF19" ca="1">_xlfn.IFS(       Tab_NewTRADER[[#This Row],[Trap_vs_Last]]=RePurchaseGain,TEXT(Tab_NewTRADER[[#This Row],[L_Sn]],"#,#0")&amp;" x "&amp;TEXT(Tab_NewTRADER[[#This Row],[L_Sp]],"#,#0.#0"),     Tab_NewTRADER[[#This Row],[Trap_vs_Last]]=ReSaleGain,Tab_NewTRADER[[#This Row],[ToSell]],               TRUE,"")</f>
        <v>1,600 x 123.44</v>
      </c>
      <c r="AG19" s="1177" cm="1">
        <f t="array" aca="1" ref="AG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160.58139999999284</v>
      </c>
      <c r="AH19" s="1370" t="str">
        <f ca="1">TEXT(MIN(Tab_NewTRADER[[#This Row],[L_Bn]],Tab_NewTRADER[[#This Row],[N]]),"#,#0")&amp;" x "&amp;TEXT(Tab_NewTRADER[[#This Row],[L_Bp]],"#,#0.#0")</f>
        <v>1,400 x -118.68</v>
      </c>
      <c r="AI19" s="1370">
        <f ca="1">IF(Tab_NewTRADER[[#This Row],[M]]&lt;_xlfn.XLOOKUP(Tab_NewTRADER[[#This Row],[ClickTick]],TabCalc[Ticker],TabCalc[Max_Buy_P]), 0,Tab_NewTRADER[[#This Row],[Sale_Back_$]])</f>
        <v>0</v>
      </c>
      <c r="AJ19" s="1370" t="str">
        <f ca="1">TEXT(Tab_NewTRADER[[#This Row],[L_Sn]],"#,#0")&amp;" ("&amp;Tab_NewTRADER[[#This Row],[M]]&amp;"/"&amp;TEXT(Tab_NewTRADER[[#This Row],[L_Sp]],"#,#0.#0)")</f>
        <v>1,600 (123.325/123.44)</v>
      </c>
      <c r="AK19" s="1370">
        <f ca="1">IF(Tab_NewTRADER[[#This Row],[M]]&lt;_xlfn.XLOOKUP(Tab_NewTRADER[[#This Row],[ClickTick]],TabCalc[Ticker],TabCalc[Max_Buy_P]), -Tab_NewTRADER[[#This Row],[Buy_Back]], 0)</f>
        <v>160.58139999999284</v>
      </c>
      <c r="AL19" s="1177" t="str" cm="1">
        <f t="array" aca="1" ref="AL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9" s="760">
        <f ca="1">Tab_NewTRADER[[#This Row],[N]]*(Tab_NewTRADER[[#This Row],[M]]-Tab_NewTRADER[[#This Row],[A]])*(1-Commission)*Tab_NewTRADER[[#This Row],[Scale]]</f>
        <v>-5084.2863960000113</v>
      </c>
      <c r="AN19" s="760">
        <f ca="1">Tab_NewTRADER[[#This Row],[M]]*Tab_NewTRADER[[#This Row],[N]]*(1-Commission)*Tab_NewTRADER[[#This Row],[Scale]]</f>
        <v>172206.09699999998</v>
      </c>
      <c r="AO19" s="1186" cm="1">
        <f t="array" aca="1" ref="AO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9.31626701231326E-4</v>
      </c>
      <c r="AP19" s="1186" t="str" cm="1">
        <f t="array" aca="1" ref="AP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Tab_NewTRADER[[#This Row],[Trap_vs_Last]]=SellMorePercentGain,                     MIN(Tab_NewTRADER[[#This Row],[L_Sn]],Tab_NewTRADER[[#This Row],[N]])*(Tab_NewTRADER[[#This Row],[M]]-Tab_NewTRADER[[#This Row],[L_Sp]])*(1-Commission)*Tab_NewTRADER[[#This Row],[Scale]],                    TRUE,"")</f>
        <v/>
      </c>
      <c r="AR19" s="1175">
        <f ca="1">_xlfn.XLOOKUP(Tab_NewTRADER[[#This Row],[ClickTick]],TabCalc[Ticker],TabCalc[Ann%RevLB])</f>
        <v>4.6966632962588433</v>
      </c>
      <c r="AS19" s="1282">
        <f ca="1">_xlfn.XLOOKUP(Tab_NewTRADER[[#This Row],[ClickTick]],TabCalc[Ticker],TabCalc[Up20])</f>
        <v>0</v>
      </c>
      <c r="AT19" s="1187" t="str" cm="1">
        <f t="array" aca="1" ref="AT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9" s="825" t="str" cm="1">
        <f t="array" aca="1" ref="AU19" ca="1">_xlfn.IFS(         Tab_NewTRADER[[#This Row],[Trap_vs_Last]]=MDown,Tab_NewTRADER[[#This Row],[L_Bn]]*Tab_NewTRADER[[#This Row],[M]]*(-(Tab_NewTRADER[[#This Row],[L_Bp]]+Tab_NewTRADER[[#This Row],[M]])/Tab_NewTRADER[[#This Row],[M]])*(1-Commission)*Tab_NewTRADER[[#This Row],[Scale]],                               TRUE,"")</f>
        <v/>
      </c>
      <c r="AV19" s="1186" t="str" cm="1">
        <f t="array" aca="1" ref="AV19" ca="1">_xlfn.IFS(   Tab_NewTRADER[[#This Row],[Trap_vs_Last]]=MUp,Tab_NewTRADER[[#This Row],[TakeGain_A]]-Commission,        Tab_NewTRADER[[#This Row],[Trap_vs_Last]]=MDown,(Tab_NewTRADER[[#This Row],[A]]-Tab_NewTRADER[[#This Row],[M]])/Tab_NewTRADER[[#This Row],[M]]-Commission,                              TRUE,"")</f>
        <v/>
      </c>
      <c r="AW19" s="825" cm="1">
        <f t="array" aca="1" ref="AW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-5084.2863960000113</v>
      </c>
      <c r="AX19" s="760" t="str" cm="1">
        <f t="array" aca="1" ref="AX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-0.9%</v>
      </c>
      <c r="AY19" s="736" t="str" cm="1">
        <f t="array" aca="1" ref="AY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9" s="765" cm="1">
        <f t="array" aca="1" ref="AZ19" ca="1">_xlfn.IFS(Tab_NewTRADER[[#This Row],[Trap_vs_Last]]=ReSaleGain,"",         Tab_NewTRADER[[#This Row],[Trap_vs_Last]]=MDown, (Tab_NewTRADER[[#This Row],[M]]-Tab_NewTRADER[[#This Row],[A]])/Tab_NewTRADER[[#This Row],[A]]*ComFactor,             TRUE, IFERROR((Tab_NewTRADER[[#This Row],[M]]-Tab_NewTRADER[[#This Row],[A]])/Tab_NewTRADER[[#This Row],[A]]*ComFactor,""))</f>
        <v>-2.8603171555241974E-2</v>
      </c>
      <c r="BA19" s="762" cm="1">
        <f t="array" aca="1" ref="BA19" ca="1">_xlfn.IFS(               Tab_NewTRADER[[#This Row],[Trap_vs_Last]]=NoStock,(Tab_NewTRADER[[#This Row],[L_Sp]]-Tab_NewTRADER[[#This Row],[M]])/Tab_NewTRADER[[#This Row],[M]]-Commission,             Tab_NewTRADER[[#This Row],[A]]&lt;&gt;0,(Tab_NewTRADER[[#This Row],[A]]-Tab_NewTRADER[[#This Row],[M]])/Tab_NewTRADER[[#This Row],[M]]-Commission)</f>
        <v>2.6924427326170758E-2</v>
      </c>
      <c r="BB19" s="324">
        <f ca="1">_xlfn.XLOOKUP(Tab_NewTRADER[[#This Row],[ClickTick]],TabCalc[Ticker],TabCalc[L_Sn])</f>
        <v>1600</v>
      </c>
      <c r="BC19" s="728">
        <f ca="1">_xlfn.XLOOKUP(Tab_NewTRADER[[#This Row],[ClickTick]],TabCalc[Ticker],TabCalc[L_Sp])</f>
        <v>123.44</v>
      </c>
      <c r="BD19" s="764">
        <f ca="1">-IFERROR((Tab_NewTRADER[[#This Row],[M]]-Tab_NewTRADER[[#This Row],[L_Sp]])/Tab_NewTRADER[[#This Row],[L_Sp]],0)</f>
        <v>9.31626701231326E-4</v>
      </c>
      <c r="BE19" s="729">
        <f ca="1">MIN(Tab_NewTRADER[[#This Row],[L_Sn]],Tab_NewTRADER[[#This Row],[N]])*(Tab_NewTRADER[[#This Row],[M]]-Tab_NewTRADER[[#This Row],[L_Sp]])*(1-Commission)*Tab_NewTRADER[[#This Row],[Scale]]</f>
        <v>-160.58139999999284</v>
      </c>
      <c r="BF19" s="692">
        <f ca="1">Tab_NewTRADER[[#This Row],[L_Sn]]*(Tab_NewTRADER[[#This Row],[Agiotage]]-Tab_NewTRADER[[#This Row],[M]])/(Tab_NewTRADER[[#This Row],[L_Bn]]*Tab_NewTRADER[[#This Row],[M]])</f>
        <v>-0.99291195249384989</v>
      </c>
      <c r="BG19" s="635">
        <f ca="1">IFERROR((Tab_NewTRADER[[#This Row],[M]]-Tab_NewTRADER[[#This Row],[A]])/Tab_NewTRADER[[#This Row],[A]],0)</f>
        <v>-2.8677733662765166E-2</v>
      </c>
      <c r="BH19" s="638" t="str">
        <f ca="1">TEXT(_xlfn.XLOOKUP(Tab_NewTRADER[[#This Row],[ClickTick]],TabCalc[Ticker],TabCalc[NAfter]),"#,#0")&amp;" : "&amp;TEXT(_xlfn.XLOOKUP(Tab_NewTRADER[[#This Row],[ClickTick]],TabCalc[Ticker],TabCalc[NAfter])*(Tab_NewTRADER[[#This Row],[M]]-Tab_NewTRADER[[#This Row],[A]])*(1-Commission)*Tab_NewTRADER[[#This Row],[Scale]],"#,#0$")</f>
        <v>1,400 : -5,084$</v>
      </c>
      <c r="BI19" s="684">
        <f ca="1">_xlfn.XLOOKUP(Tab_NewTRADER[[#This Row],[ClickTick]],TabCalc[[#This Row],[Ticker]],TabCalc[[#This Row],[GL]])*(1-Commission)</f>
        <v>36461.143905999939</v>
      </c>
      <c r="BJ19" s="684"/>
      <c r="BK19" s="669" t="str">
        <f ca="1">Tab_NewTRADER[[#This Row],[ClickTick]]&amp;": "&amp;_xlfn.XLOOKUP(Tab_NewTRADER[[#This Row],[ClickTick]],TabCalc[Ticker],TabCalc[Pile?])</f>
        <v>DVA: Pile</v>
      </c>
      <c r="BL19" s="351" t="s">
        <v>2057</v>
      </c>
      <c r="BM19" s="755" t="str" cm="1">
        <f t="array" aca="1" ref="BM19" ca="1">_xlfn.TEXTJOIN("",,INDEX({"M","A","Y"}, _xlfn.SORTBY({1,2,3}, -CHOOSE({1,2,3}, Tab_NewTRADER[[#This Row],[M]], Tab_NewTRADER[[#This Row],[A]], Tab_NewTRADER[[#This Row],[Agiotage]]))))</f>
        <v>AMY</v>
      </c>
      <c r="BN19" s="909" t="str" cm="1">
        <f t="array" aca="1" ref="BN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9" s="679" t="e">
        <f ca="1">Tab_NewTRADER[[#This Row],[L_Sn]]*Tab_NewTRADER[[#This Row],[L_Sp]]+Tab_NewTRADER[[#This Row],[SellMore]]*Tab_NewTRADER[[#This Row],[M]]</f>
        <v>#N/A</v>
      </c>
      <c r="BP19" s="679" t="e">
        <f ca="1">INDEX(
  INDEX(TabConsolid[], , _xlfn.XMATCH(Tab_NewTRADER[[#This Row],[ClickTick]]&amp;1, TabConsolid[#Headers])),
  MATCH(
    -Tab_NewTRADER[[#This Row],[M]],
    INDEX(TabConsolid[], , _xlfn.XMATCH(Tab_NewTRADER[[#This Row],[ClickTick]]&amp;2, TabConsolid[#Headers])),
    -1
  )
)</f>
        <v>#N/A</v>
      </c>
      <c r="BQ19" s="679" cm="1">
        <f t="array" aca="1" ref="BQ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9" s="1156" t="e">
        <f ca="1">Tab_NewTRADER[[#This Row],[ReBuy]]/(Tab_NewTRADER[[#This Row],[L_Sn]]+Tab_NewTRADER[[#This Row],[SellMore]])</f>
        <v>#N/A</v>
      </c>
      <c r="BS19" s="687">
        <f ca="1">((_xlfn.XLOOKUP(Tab_NewTRADER[[#This Row],[ClickTick]],TabCalc[Ticker],TabCalc[NAfter])+Tab_NewTRADER[[#This Row],[L_Sn]])*(Tab_NewTRADER[[#This Row],[Agiotage]]-Tab_NewTRADER[[#This Row],[M]]))/(Tab_NewTRADER[[#This Row],[L_Sn]]*_xlfn.XLOOKUP(Tab_NewTRADER[[#This Row],[ClickTick]],TabCalc[Ticker],TabCalc[NAfter]))</f>
        <v>-0.16399669626067506</v>
      </c>
      <c r="BT19" s="687">
        <f ca="1">(Tab_NewTRADER[[#This Row],[M]]-Tab_NewTRADER[[#This Row],[Agiotage]])/(Tab_NewTRADER[[#This Row],[M]]-Tab_NewTRADER[[#This Row],[A]])-1</f>
        <v>-34.63018498291828</v>
      </c>
      <c r="BU19" s="1277">
        <f ca="1">_xlfn.XMATCH(Tab_NewTRADER[[#This Row],[ClickTick]]&amp;1, TabConsolid[#Headers])</f>
        <v>50</v>
      </c>
      <c r="BV19" t="b">
        <f ca="1">IF(ABS(Tab_NewTRADER[[#This Row],[L_Bp]])&gt;=Tab_NewTRADER[[#This Row],[M]],"OK")</f>
        <v>0</v>
      </c>
    </row>
    <row r="20" spans="1:74"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-5,220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-9.9%</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-21,570$</v>
      </c>
      <c r="G20" s="225" t="str">
        <f ca="1">IFERROR(TRUNC(_xlfn.XLOOKUP(Tab_NewTRADER[[#This Row],[ClickTick]],TabCalc[Ticker],ListLastSalep),2)&amp;"x"&amp;_xlfn.XLOOKUP(Tab_NewTRADER[[#This Row],[ClickTick]],TabCalc[Ticker],ListLastSalen)&amp;"=   "&amp;TEXT(-_xlfn.XLOOKUP(Tab_NewTRADER[[#This Row],[ClickTick]],TabCalc[Ticker],ListReverseB),"#,#0")&amp;"$","")</f>
        <v>20.32x4000=   -28,580$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54.2% = 700</v>
      </c>
      <c r="I20" s="226" t="str">
        <f ca="1">IFERROR(TRUNC(TabCalc[[#This Row],[L_S1p]],2)&amp;"x"&amp;TabCalc[[#This Row],[L_S1n]]&amp;"=   "&amp;TEXT(TabCalc[[#This Row],[ReverseB1]],"#,#0"),"")</f>
        <v>19.33x4000=   24,624</v>
      </c>
      <c r="J20" s="295">
        <f ca="1">_xlfn.XLOOKUP(Tab_NewTRADER[[#This Row],[ClickTick]],TabCalc[Ticker],ListGravity)</f>
        <v>1.1005692599620494</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54162.425000000003</v>
      </c>
      <c r="M20" s="323">
        <f ca="1">_xlfn.XLOOKUP(Tab_NewTRADER[[#This Row],[ClickTick]],TabCalc[Ticker],TabCalc[Agiotage])</f>
        <v>0.58101947699442602</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-9.0124309392265164E-2</v>
      </c>
      <c r="S20" s="683">
        <f ca="1">_xlfn.XLOOKUP(Tab_NewTRADER[[#This Row],[ClickTick]],TabCalc[Ticker],TabCalc[Rev(MinStock)])*(1-Commission)</f>
        <v>-5206.427999999999</v>
      </c>
      <c r="T20" s="782">
        <f ca="1">_xlfn.XLOOKUP(Tab_NewTRADER[[#This Row],[ClickTick]],TabCalc[Ticker],TabCalc[Agiotage])</f>
        <v>0.58101947699442602</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-1,950/-1,950=&gt;-3.4% / -3.4%</v>
      </c>
      <c r="V20" s="739" t="str">
        <f ca="1">_xlfn.XLOOKUP(Tab_NewTRADER[[#This Row],[ClickTick]],[1]!RTData[Ticker_Symbol],[1]!RTData[Currency])</f>
        <v>USD</v>
      </c>
      <c r="W20" s="749">
        <f ca="1">_xlfn.XLOOKUP(Tab_NewTRADER[[#This Row],[ClickTick]],TabCalc[Ticker],TabCalc[M])</f>
        <v>13.175000000000001</v>
      </c>
      <c r="X20" s="1343"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-49/79 K$</v>
      </c>
      <c r="AE20" s="1173" t="str" cm="1">
        <f t="array" aca="1" ref="AE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0" s="1177" t="str" cm="1">
        <f t="array" aca="1" ref="AF20" ca="1">_xlfn.IFS(       Tab_NewTRADER[[#This Row],[Trap_vs_Last]]=RePurchaseGain,TEXT(Tab_NewTRADER[[#This Row],[L_Sn]],"#,#0")&amp;" x "&amp;TEXT(Tab_NewTRADER[[#This Row],[L_Sp]],"#,#0.#0"),     Tab_NewTRADER[[#This Row],[Trap_vs_Last]]=ReSaleGain,Tab_NewTRADER[[#This Row],[ToSell]],               TRUE,"")</f>
        <v/>
      </c>
      <c r="AG20" s="1177" t="str" cm="1">
        <f t="array" aca="1" ref="AG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H20" s="1370" t="str">
        <f ca="1">TEXT(MIN(Tab_NewTRADER[[#This Row],[L_Bn]],Tab_NewTRADER[[#This Row],[N]]),"#,#0")&amp;" x "&amp;TEXT(Tab_NewTRADER[[#This Row],[L_Bp]],"#,#0.#0")</f>
        <v>4,000 x -14.48</v>
      </c>
      <c r="AI20" s="1370">
        <f ca="1">IF(Tab_NewTRADER[[#This Row],[M]]&lt;_xlfn.XLOOKUP(Tab_NewTRADER[[#This Row],[ClickTick]],TabCalc[Ticker],TabCalc[Max_Buy_P]), 0,Tab_NewTRADER[[#This Row],[Sale_Back_$]])</f>
        <v>0</v>
      </c>
      <c r="AJ20" s="1370" t="str">
        <f ca="1">TEXT(Tab_NewTRADER[[#This Row],[L_Sn]],"#,#0")&amp;" ("&amp;Tab_NewTRADER[[#This Row],[M]]&amp;"/"&amp;TEXT(Tab_NewTRADER[[#This Row],[L_Sp]],"#,#0.#0)")</f>
        <v>4,000 (13.175/20.32)</v>
      </c>
      <c r="AK20" s="1370">
        <f ca="1">IF(Tab_NewTRADER[[#This Row],[M]]&lt;_xlfn.XLOOKUP(Tab_NewTRADER[[#This Row],[ClickTick]],TabCalc[Ticker],TabCalc[Max_Buy_P]), -Tab_NewTRADER[[#This Row],[Buy_Back]], 0)</f>
        <v>28505.691999999999</v>
      </c>
      <c r="AL20" s="1177" cm="1">
        <f t="array" aca="1" ref="AL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5206.427999999999</v>
      </c>
      <c r="AM20" s="1177">
        <f ca="1">Tab_NewTRADER[[#This Row],[N]]*(Tab_NewTRADER[[#This Row],[M]]-Tab_NewTRADER[[#This Row],[A]])*(1-Commission)*Tab_NewTRADER[[#This Row],[Scale]]</f>
        <v>-15963.386999999992</v>
      </c>
      <c r="AN20" s="1177">
        <f ca="1">Tab_NewTRADER[[#This Row],[M]]*Tab_NewTRADER[[#This Row],[N]]*(1-Commission)*Tab_NewTRADER[[#This Row],[Scale]]</f>
        <v>78844.47</v>
      </c>
      <c r="AO20" s="1186" cm="1">
        <f t="array" aca="1" ref="AO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0.16837620325074948</v>
      </c>
      <c r="AP20" s="1186" cm="1">
        <f t="array" aca="1" ref="AP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9.6451233396584402E-2</v>
      </c>
      <c r="AQ20" s="825" t="str" cm="1">
        <f t="array" aca="1" ref="AQ20" ca="1">_xlfn.IFS(   Tab_NewTRADER[[#This Row],[Trap_vs_Last]]=SellMorePercentGain,                     MIN(Tab_NewTRADER[[#This Row],[L_Sn]],Tab_NewTRADER[[#This Row],[N]])*(Tab_NewTRADER[[#This Row],[M]]-Tab_NewTRADER[[#This Row],[L_Sp]])*(1-Commission)*Tab_NewTRADER[[#This Row],[Scale]],                    TRUE,"")</f>
        <v/>
      </c>
      <c r="AR20" s="1192">
        <f ca="1">_xlfn.XLOOKUP(Tab_NewTRADER[[#This Row],[ClickTick]],TabCalc[Ticker],TabCalc[Ann%RevLB])</f>
        <v>-0.29765826955243541</v>
      </c>
      <c r="AS20" s="1192">
        <f ca="1">_xlfn.XLOOKUP(Tab_NewTRADER[[#This Row],[ClickTick]],TabCalc[Ticker],TabCalc[Up20])</f>
        <v>0</v>
      </c>
      <c r="AT20" s="310" cm="1">
        <f t="array" aca="1" ref="AT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9.9051233396584407E-2</v>
      </c>
      <c r="AU20" s="825" cm="1">
        <f t="array" aca="1" ref="AU20" ca="1">_xlfn.IFS(         Tab_NewTRADER[[#This Row],[Trap_vs_Last]]=MDown,Tab_NewTRADER[[#This Row],[L_Bn]]*Tab_NewTRADER[[#This Row],[M]]*(-(Tab_NewTRADER[[#This Row],[L_Bp]]+Tab_NewTRADER[[#This Row],[M]])/Tab_NewTRADER[[#This Row],[M]])*(1-Commission)*Tab_NewTRADER[[#This Row],[Scale]],                               TRUE,"")</f>
        <v>5206.4279999999981</v>
      </c>
      <c r="AV20" s="1186" cm="1">
        <f t="array" aca="1" ref="AV20" ca="1">_xlfn.IFS(   Tab_NewTRADER[[#This Row],[Trap_vs_Last]]=MUp,Tab_NewTRADER[[#This Row],[TakeGain_A]]-Commission,        Tab_NewTRADER[[#This Row],[Trap_vs_Last]]=MDown,(Tab_NewTRADER[[#This Row],[A]]-Tab_NewTRADER[[#This Row],[M]])/Tab_NewTRADER[[#This Row],[M]]-Commission,                              TRUE,"")</f>
        <v>0.19986679316888034</v>
      </c>
      <c r="AW20" s="825" cm="1">
        <f t="array" aca="1" ref="AW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15963.386999999992</v>
      </c>
      <c r="AX20" s="760" t="str" cm="1">
        <f t="array" aca="1" ref="AX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20" s="736" cm="1">
        <f t="array" aca="1" ref="AY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v>
      </c>
      <c r="AZ20" s="765" cm="1">
        <f t="array" aca="1" ref="AZ20" ca="1">_xlfn.IFS(Tab_NewTRADER[[#This Row],[Trap_vs_Last]]=ReSaleGain,"",         Tab_NewTRADER[[#This Row],[Trap_vs_Last]]=MDown, (Tab_NewTRADER[[#This Row],[M]]-Tab_NewTRADER[[#This Row],[A]])/Tab_NewTRADER[[#This Row],[A]]*ComFactor,             TRUE, IFERROR((Tab_NewTRADER[[#This Row],[M]]-Tab_NewTRADER[[#This Row],[A]])/Tab_NewTRADER[[#This Row],[A]]*ComFactor,""))</f>
        <v>-0.16793842512229754</v>
      </c>
      <c r="BA20" s="762" cm="1">
        <f t="array" aca="1" ref="BA20" ca="1">_xlfn.IFS(               Tab_NewTRADER[[#This Row],[Trap_vs_Last]]=NoStock,(Tab_NewTRADER[[#This Row],[L_Sp]]-Tab_NewTRADER[[#This Row],[M]])/Tab_NewTRADER[[#This Row],[M]]-Commission,             Tab_NewTRADER[[#This Row],[A]]&lt;&gt;0,(Tab_NewTRADER[[#This Row],[A]]-Tab_NewTRADER[[#This Row],[M]])/Tab_NewTRADER[[#This Row],[M]]-Commission)</f>
        <v>0.19986679316888034</v>
      </c>
      <c r="BB20" s="324">
        <f ca="1">_xlfn.XLOOKUP(Tab_NewTRADER[[#This Row],[ClickTick]],TabCalc[Ticker],TabCalc[L_Sn])</f>
        <v>4000</v>
      </c>
      <c r="BC20" s="728">
        <f ca="1">_xlfn.XLOOKUP(Tab_NewTRADER[[#This Row],[ClickTick]],TabCalc[Ticker],TabCalc[L_Sp])</f>
        <v>20.32</v>
      </c>
      <c r="BD20" s="764">
        <f ca="1">-IFERROR((Tab_NewTRADER[[#This Row],[M]]-Tab_NewTRADER[[#This Row],[L_Sp]])/Tab_NewTRADER[[#This Row],[L_Sp]],0)</f>
        <v>0.35162401574803148</v>
      </c>
      <c r="BE20" s="729">
        <f ca="1">MIN(Tab_NewTRADER[[#This Row],[L_Sn]],Tab_NewTRADER[[#This Row],[N]])*(Tab_NewTRADER[[#This Row],[M]]-Tab_NewTRADER[[#This Row],[L_Sp]])*(1-Commission)*Tab_NewTRADER[[#This Row],[Scale]]</f>
        <v>-28505.691999999999</v>
      </c>
      <c r="BF20" s="692">
        <f ca="1">Tab_NewTRADER[[#This Row],[L_Sn]]*(Tab_NewTRADER[[#This Row],[Agiotage]]-Tab_NewTRADER[[#This Row],[M]])/(Tab_NewTRADER[[#This Row],[L_Bn]]*Tab_NewTRADER[[#This Row],[M]])</f>
        <v>-0.95589984994349719</v>
      </c>
      <c r="BG20" s="635">
        <f ca="1">IFERROR((Tab_NewTRADER[[#This Row],[M]]-Tab_NewTRADER[[#This Row],[A]])/Tab_NewTRADER[[#This Row],[A]],0)</f>
        <v>-0.16837620325074948</v>
      </c>
      <c r="BH20" s="638" t="str">
        <f ca="1">TEXT(_xlfn.XLOOKUP(Tab_NewTRADER[[#This Row],[ClickTick]],TabCalc[Ticker],TabCalc[NAfter]),"#,#0")&amp;" : "&amp;TEXT(_xlfn.XLOOKUP(Tab_NewTRADER[[#This Row],[ClickTick]],TabCalc[Ticker],TabCalc[NAfter])*(Tab_NewTRADER[[#This Row],[M]]-Tab_NewTRADER[[#This Row],[A]])*(1-Commission)*Tab_NewTRADER[[#This Row],[Scale]],"#,#0$")</f>
        <v>6,000 : -15,963$</v>
      </c>
      <c r="BI20" s="684">
        <f ca="1">_xlfn.XLOOKUP(Tab_NewTRADER[[#This Row],[ClickTick]],TabCalc[[#This Row],[Ticker]],TabCalc[[#This Row],[GL]])*(1-Commission)</f>
        <v>-48408.456917799966</v>
      </c>
      <c r="BJ20" s="684"/>
      <c r="BK20" s="669" t="str">
        <f ca="1">Tab_NewTRADER[[#This Row],[ClickTick]]&amp;": "&amp;_xlfn.XLOOKUP(Tab_NewTRADER[[#This Row],[ClickTick]],TabCalc[Ticker],TabCalc[Pile?])</f>
        <v xml:space="preserve">DXC: </v>
      </c>
      <c r="BL20" s="351" t="s">
        <v>1963</v>
      </c>
      <c r="BM20" s="755" t="str" cm="1">
        <f t="array" aca="1" ref="BM20" ca="1">_xlfn.TEXTJOIN("",,INDEX({"M","A","Y"}, _xlfn.SORTBY({1,2,3}, -CHOOSE({1,2,3}, Tab_NewTRADER[[#This Row],[M]], Tab_NewTRADER[[#This Row],[A]], Tab_NewTRADER[[#This Row],[Agiotage]]))))</f>
        <v>AMY</v>
      </c>
      <c r="BN20" s="909" cm="1">
        <f t="array" aca="1" ref="BN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9.9051233396584407E-2</v>
      </c>
      <c r="BO20" s="679" t="e">
        <f ca="1">Tab_NewTRADER[[#This Row],[L_Sn]]*Tab_NewTRADER[[#This Row],[L_Sp]]+Tab_NewTRADER[[#This Row],[SellMore]]*Tab_NewTRADER[[#This Row],[M]]</f>
        <v>#N/A</v>
      </c>
      <c r="BP20" s="679" t="e">
        <f ca="1">INDEX(
  INDEX(TabConsolid[], , _xlfn.XMATCH(Tab_NewTRADER[[#This Row],[ClickTick]]&amp;1, TabConsolid[#Headers])),
  MATCH(
    -Tab_NewTRADER[[#This Row],[M]],
    INDEX(TabConsolid[], , _xlfn.XMATCH(Tab_NewTRADER[[#This Row],[ClickTick]]&amp;2, TabConsolid[#Headers])),
    -1
  )
)</f>
        <v>#N/A</v>
      </c>
      <c r="BQ20" s="679" cm="1">
        <f t="array" aca="1" ref="BQ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20" s="1156" t="e">
        <f ca="1">Tab_NewTRADER[[#This Row],[ReBuy]]/(Tab_NewTRADER[[#This Row],[L_Sn]]+Tab_NewTRADER[[#This Row],[SellMore]])</f>
        <v>#N/A</v>
      </c>
      <c r="BS20" s="687">
        <f ca="1">((_xlfn.XLOOKUP(Tab_NewTRADER[[#This Row],[ClickTick]],TabCalc[Ticker],TabCalc[NAfter])+Tab_NewTRADER[[#This Row],[L_Sn]])*(Tab_NewTRADER[[#This Row],[Agiotage]]-Tab_NewTRADER[[#This Row],[M]]))/(Tab_NewTRADER[[#This Row],[L_Sn]]*_xlfn.XLOOKUP(Tab_NewTRADER[[#This Row],[ClickTick]],TabCalc[Ticker],TabCalc[NAfter]))</f>
        <v>-5.2474918845856564E-3</v>
      </c>
      <c r="BT20" s="687">
        <f ca="1">(Tab_NewTRADER[[#This Row],[M]]-Tab_NewTRADER[[#This Row],[Agiotage]])/(Tab_NewTRADER[[#This Row],[M]]-Tab_NewTRADER[[#This Row],[A]])-1</f>
        <v>-5.7212673000958132</v>
      </c>
      <c r="BU20" s="1277">
        <f ca="1">_xlfn.XMATCH(Tab_NewTRADER[[#This Row],[ClickTick]]&amp;1, TabConsolid[#Headers])</f>
        <v>53</v>
      </c>
      <c r="BV20" t="str">
        <f ca="1">IF(ABS(Tab_NewTRADER[[#This Row],[L_Bp]])&gt;=Tab_NewTRADER[[#This Row],[M]],"OK")</f>
        <v>OK</v>
      </c>
    </row>
    <row r="21" spans="1:74"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+939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333,333</v>
      </c>
      <c r="F21" s="226" t="str">
        <f ca="1">TRUNC(TabCalc[[#This Row],[L_B1p]],2)&amp;"x"&amp;TabCalc[[#This Row],[L_B1n]]&amp;"=   "&amp;TEXT(TabCalc[[#This Row],[ReverseS1]],"#,#0")&amp;"$"</f>
        <v>-14.78x5000=   6,625$</v>
      </c>
      <c r="G21" s="225" t="str">
        <f ca="1">IFERROR(TRUNC(_xlfn.XLOOKUP(Tab_NewTRADER[[#This Row],[ClickTick]],TabCalc[Ticker],ListLastSalep),2)&amp;"x"&amp;_xlfn.XLOOKUP(Tab_NewTRADER[[#This Row],[ClickTick]],TabCalc[Ticker],ListLastSalen)&amp;"=   "&amp;TEXT(-_xlfn.XLOOKUP(Tab_NewTRADER[[#This Row],[ClickTick]],TabCalc[Ticker],ListReverseB),"#,#0")&amp;"$","")</f>
        <v>16.12x3200=   -48$</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333,333</v>
      </c>
      <c r="I21" s="226" t="str">
        <f ca="1">IFERROR(TRUNC(TabCalc[[#This Row],[L_S1p]],2)&amp;"x"&amp;TabCalc[[#This Row],[L_S1n]]&amp;"=   "&amp;TEXT(TabCalc[[#This Row],[ReverseB1]],"#,#0"),"")</f>
        <v>15.8x2500=   -762</v>
      </c>
      <c r="J21" s="295">
        <f ca="1">_xlfn.XLOOKUP(Tab_NewTRADER[[#This Row],[ClickTick]],TabCalc[Ticker],ListGravity)</f>
        <v>1.0505799441167338</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1.3773604663339033E-3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4.052369077306813E-3</v>
      </c>
      <c r="S21" s="683">
        <f ca="1">_xlfn.XLOOKUP(Tab_NewTRADER[[#This Row],[ClickTick]],TabCalc[Ticker],TabCalc[Rev(MinStock)])*(1-Commission)</f>
        <v>936.80795000001842</v>
      </c>
      <c r="T21" s="782">
        <f ca="1">_xlfn.XLOOKUP(Tab_NewTRADER[[#This Row],[ClickTick]],TabCalc[Ticker],TabCalc[Agiotage])</f>
        <v>1.3773604663339033E-3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0.2%</v>
      </c>
      <c r="V21" s="739" t="str">
        <f ca="1">_xlfn.XLOOKUP(Tab_NewTRADER[[#This Row],[ClickTick]],[1]!RTData[Ticker_Symbol],[1]!RTData[Currency])</f>
        <v>EUR</v>
      </c>
      <c r="W21" s="749">
        <f ca="1">_xlfn.XLOOKUP(Tab_NewTRADER[[#This Row],[ClickTick]],TabCalc[Ticker],TabCalc[M])</f>
        <v>16.105</v>
      </c>
      <c r="X21" s="1343"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^1,168 / 242 K$</v>
      </c>
      <c r="AE21" s="1173" t="str" cm="1">
        <f t="array" aca="1" ref="AE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21" s="1177" t="str" cm="1">
        <f t="array" aca="1" ref="AF21" ca="1">_xlfn.IFS(       Tab_NewTRADER[[#This Row],[Trap_vs_Last]]=RePurchaseGain,TEXT(Tab_NewTRADER[[#This Row],[L_Sn]],"#,#0")&amp;" x "&amp;TEXT(Tab_NewTRADER[[#This Row],[L_Sp]],"#,#0.#0"),     Tab_NewTRADER[[#This Row],[Trap_vs_Last]]=ReSaleGain,Tab_NewTRADER[[#This Row],[ToSell]],               TRUE,"")</f>
        <v>14,450 x -16.04</v>
      </c>
      <c r="AG21" s="1177" cm="1">
        <f t="array" aca="1" ref="AG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936.80795000001842</v>
      </c>
      <c r="AH21" s="1370" t="str">
        <f ca="1">TEXT(MIN(Tab_NewTRADER[[#This Row],[L_Bn]],Tab_NewTRADER[[#This Row],[N]]),"#,#0")&amp;" x "&amp;TEXT(Tab_NewTRADER[[#This Row],[L_Bp]],"#,#0.#0")</f>
        <v>14,450 x -16.04</v>
      </c>
      <c r="AI21" s="1370">
        <f ca="1">IF(Tab_NewTRADER[[#This Row],[M]]&lt;_xlfn.XLOOKUP(Tab_NewTRADER[[#This Row],[ClickTick]],TabCalc[Ticker],TabCalc[Max_Buy_P]), 0,Tab_NewTRADER[[#This Row],[Sale_Back_$]])</f>
        <v>936.80795000001842</v>
      </c>
      <c r="AJ21" s="1370" t="str">
        <f ca="1">TEXT(Tab_NewTRADER[[#This Row],[L_Sn]],"#,#0")&amp;" ("&amp;Tab_NewTRADER[[#This Row],[M]]&amp;"/"&amp;TEXT(Tab_NewTRADER[[#This Row],[L_Sp]],"#,#0.#0)")</f>
        <v>3,200 (16.105/16.12)</v>
      </c>
      <c r="AK21" s="1370">
        <f ca="1">IF(Tab_NewTRADER[[#This Row],[M]]&lt;_xlfn.XLOOKUP(Tab_NewTRADER[[#This Row],[ClickTick]],TabCalc[Ticker],TabCalc[Max_Buy_P]), -Tab_NewTRADER[[#This Row],[Buy_Back]], 0)</f>
        <v>0</v>
      </c>
      <c r="AL21" s="1177" t="str" cm="1">
        <f t="array" aca="1" ref="AL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1" s="1177">
        <f ca="1">Tab_NewTRADER[[#This Row],[N]]*(Tab_NewTRADER[[#This Row],[M]]-Tab_NewTRADER[[#This Row],[A]])*(1-Commission)*Tab_NewTRADER[[#This Row],[Scale]]</f>
        <v>1663.6632000000027</v>
      </c>
      <c r="AN21" s="1177">
        <f ca="1">Tab_NewTRADER[[#This Row],[M]]*Tab_NewTRADER[[#This Row],[N]]*(1-Commission)*Tab_NewTRADER[[#This Row],[Scale]]</f>
        <v>240946.905</v>
      </c>
      <c r="AO21" s="1186" cm="1">
        <f t="array" aca="1" ref="AO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4.052369077306813E-3</v>
      </c>
      <c r="AP21" s="1186" t="str" cm="1">
        <f t="array" aca="1" ref="AP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1" s="825" t="str" cm="1">
        <f t="array" aca="1" ref="AQ21" ca="1">_xlfn.IFS(   Tab_NewTRADER[[#This Row],[Trap_vs_Last]]=SellMorePercentGain,                     MIN(Tab_NewTRADER[[#This Row],[L_Sn]],Tab_NewTRADER[[#This Row],[N]])*(Tab_NewTRADER[[#This Row],[M]]-Tab_NewTRADER[[#This Row],[L_Sp]])*(1-Commission)*Tab_NewTRADER[[#This Row],[Scale]],                    TRUE,"")</f>
        <v/>
      </c>
      <c r="AR21" s="1192">
        <f ca="1">_xlfn.XLOOKUP(Tab_NewTRADER[[#This Row],[ClickTick]],TabCalc[Ticker],TabCalc[Ann%RevLB])</f>
        <v>0.72942643391522632</v>
      </c>
      <c r="AS21" s="1281">
        <f ca="1">_xlfn.XLOOKUP(Tab_NewTRADER[[#This Row],[ClickTick]],TabCalc[Ticker],TabCalc[Up20])</f>
        <v>0</v>
      </c>
      <c r="AT21" s="1187" t="str" cm="1">
        <f t="array" aca="1" ref="AT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1" s="825" t="str" cm="1">
        <f t="array" aca="1" ref="AU21" ca="1">_xlfn.IFS(         Tab_NewTRADER[[#This Row],[Trap_vs_Last]]=MDown,Tab_NewTRADER[[#This Row],[L_Bn]]*Tab_NewTRADER[[#This Row],[M]]*(-(Tab_NewTRADER[[#This Row],[L_Bp]]+Tab_NewTRADER[[#This Row],[M]])/Tab_NewTRADER[[#This Row],[M]])*(1-Commission)*Tab_NewTRADER[[#This Row],[Scale]],                               TRUE,"")</f>
        <v/>
      </c>
      <c r="AV21" s="1186" t="str" cm="1">
        <f t="array" aca="1" ref="AV21" ca="1">_xlfn.IFS(   Tab_NewTRADER[[#This Row],[Trap_vs_Last]]=MUp,Tab_NewTRADER[[#This Row],[TakeGain_A]]-Commission,        Tab_NewTRADER[[#This Row],[Trap_vs_Last]]=MDown,(Tab_NewTRADER[[#This Row],[A]]-Tab_NewTRADER[[#This Row],[M]])/Tab_NewTRADER[[#This Row],[M]]-Commission,                              TRUE,"")</f>
        <v/>
      </c>
      <c r="AW21" s="825" cm="1">
        <f t="array" aca="1" ref="AW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1675.2301414298067</v>
      </c>
      <c r="AX21" s="760" t="str" cm="1">
        <f t="array" aca="1" ref="AX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21" s="736" t="str" cm="1">
        <f t="array" aca="1" ref="AY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21" s="765" t="str" cm="1">
        <f t="array" aca="1" ref="AZ21" ca="1">_xlfn.IFS(Tab_NewTRADER[[#This Row],[Trap_vs_Last]]=ReSaleGain,"",         Tab_NewTRADER[[#This Row],[Trap_vs_Last]]=MDown, (Tab_NewTRADER[[#This Row],[M]]-Tab_NewTRADER[[#This Row],[A]])/Tab_NewTRADER[[#This Row],[A]]*ComFactor,             TRUE, IFERROR((Tab_NewTRADER[[#This Row],[M]]-Tab_NewTRADER[[#This Row],[A]])/Tab_NewTRADER[[#This Row],[A]]*ComFactor,""))</f>
        <v/>
      </c>
      <c r="BA21" s="762" cm="1">
        <f t="array" aca="1" ref="BA21" ca="1">_xlfn.IFS(               Tab_NewTRADER[[#This Row],[Trap_vs_Last]]=NoStock,(Tab_NewTRADER[[#This Row],[L_Sp]]-Tab_NewTRADER[[#This Row],[M]])/Tab_NewTRADER[[#This Row],[M]]-Commission,             Tab_NewTRADER[[#This Row],[A]]&lt;&gt;0,(Tab_NewTRADER[[#This Row],[A]]-Tab_NewTRADER[[#This Row],[M]])/Tab_NewTRADER[[#This Row],[M]]-Commission)</f>
        <v>-9.5046879850978067E-3</v>
      </c>
      <c r="BB21" s="324">
        <f ca="1">_xlfn.XLOOKUP(Tab_NewTRADER[[#This Row],[ClickTick]],TabCalc[Ticker],TabCalc[L_Sn])</f>
        <v>3200</v>
      </c>
      <c r="BC21" s="728">
        <f ca="1">_xlfn.XLOOKUP(Tab_NewTRADER[[#This Row],[ClickTick]],TabCalc[Ticker],TabCalc[L_Sp])</f>
        <v>16.12</v>
      </c>
      <c r="BD21" s="764">
        <f ca="1">-IFERROR((Tab_NewTRADER[[#This Row],[M]]-Tab_NewTRADER[[#This Row],[L_Sp]])/Tab_NewTRADER[[#This Row],[L_Sp]],0)</f>
        <v>9.3052109181144963E-4</v>
      </c>
      <c r="BE21" s="729">
        <f ca="1">MIN(Tab_NewTRADER[[#This Row],[L_Sn]],Tab_NewTRADER[[#This Row],[N]])*(Tab_NewTRADER[[#This Row],[M]]-Tab_NewTRADER[[#This Row],[L_Sp]])*(1-Commission)*Tab_NewTRADER[[#This Row],[Scale]]</f>
        <v>-47.875200000001811</v>
      </c>
      <c r="BF21" s="692">
        <f ca="1">Tab_NewTRADER[[#This Row],[L_Sn]]*(Tab_NewTRADER[[#This Row],[Agiotage]]-Tab_NewTRADER[[#This Row],[M]])/(Tab_NewTRADER[[#This Row],[L_Bn]]*Tab_NewTRADER[[#This Row],[M]])</f>
        <v>-0.22143434767516257</v>
      </c>
      <c r="BG21" s="635">
        <f ca="1">IFERROR((Tab_NewTRADER[[#This Row],[M]]-Tab_NewTRADER[[#This Row],[A]])/Tab_NewTRADER[[#This Row],[A]],0)</f>
        <v>6.9526941689904958E-3</v>
      </c>
      <c r="BH21" s="638" t="str">
        <f ca="1">TEXT(_xlfn.XLOOKUP(Tab_NewTRADER[[#This Row],[ClickTick]],TabCalc[Ticker],TabCalc[NAfter]),"#,#0")&amp;" : "&amp;TEXT(_xlfn.XLOOKUP(Tab_NewTRADER[[#This Row],[ClickTick]],TabCalc[Ticker],TabCalc[NAfter])*(Tab_NewTRADER[[#This Row],[M]]-Tab_NewTRADER[[#This Row],[A]])*(1-Commission)*Tab_NewTRADER[[#This Row],[Scale]],"#,#0$")</f>
        <v>15,000 : 1,664$</v>
      </c>
      <c r="BI21" s="684">
        <f ca="1">_xlfn.XLOOKUP(Tab_NewTRADER[[#This Row],[ClickTick]],TabCalc[[#This Row],[Ticker]],TabCalc[[#This Row],[GL]])*(1-Commission)</f>
        <v>1164547.7829</v>
      </c>
      <c r="BJ21" s="684"/>
      <c r="BK21" s="669" t="str">
        <f ca="1">Tab_NewTRADER[[#This Row],[ClickTick]]&amp;": "&amp;_xlfn.XLOOKUP(Tab_NewTRADER[[#This Row],[ClickTick]],TabCalc[Ticker],TabCalc[Pile?])</f>
        <v>EOAN: Pile</v>
      </c>
      <c r="BL21" s="351" t="s">
        <v>1999</v>
      </c>
      <c r="BM21" s="755" t="str" cm="1">
        <f t="array" aca="1" ref="BM21" ca="1">_xlfn.TEXTJOIN("",,INDEX({"M","A","Y"}, _xlfn.SORTBY({1,2,3}, -CHOOSE({1,2,3}, Tab_NewTRADER[[#This Row],[M]], Tab_NewTRADER[[#This Row],[A]], Tab_NewTRADER[[#This Row],[Agiotage]]))))</f>
        <v>MAY</v>
      </c>
      <c r="BN21" s="909" t="str" cm="1">
        <f t="array" aca="1" ref="BN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1" s="679">
        <f ca="1">Tab_NewTRADER[[#This Row],[L_Sn]]*Tab_NewTRADER[[#This Row],[L_Sp]]+Tab_NewTRADER[[#This Row],[SellMore]]*Tab_NewTRADER[[#This Row],[M]]</f>
        <v>284301.25</v>
      </c>
      <c r="BP21" s="679">
        <f ca="1">INDEX(
  INDEX(TabConsolid[], , _xlfn.XMATCH(Tab_NewTRADER[[#This Row],[ClickTick]]&amp;1, TabConsolid[#Headers])),
  MATCH(
    -Tab_NewTRADER[[#This Row],[M]],
    INDEX(TabConsolid[], , _xlfn.XMATCH(Tab_NewTRADER[[#This Row],[ClickTick]]&amp;2, TabConsolid[#Headers])),
    -1
  )
)</f>
        <v>14450</v>
      </c>
      <c r="BQ21" s="679" cm="1">
        <f t="array" aca="1" ref="BQ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14450</v>
      </c>
      <c r="BR21" s="1156">
        <f ca="1">Tab_NewTRADER[[#This Row],[ReBuy]]/(Tab_NewTRADER[[#This Row],[L_Sn]]+Tab_NewTRADER[[#This Row],[SellMore]])</f>
        <v>16.10771954674221</v>
      </c>
      <c r="BS21" s="687">
        <f ca="1">((_xlfn.XLOOKUP(Tab_NewTRADER[[#This Row],[ClickTick]],TabCalc[Ticker],TabCalc[NAfter])+Tab_NewTRADER[[#This Row],[L_Sn]])*(Tab_NewTRADER[[#This Row],[Agiotage]]-Tab_NewTRADER[[#This Row],[M]]))/(Tab_NewTRADER[[#This Row],[L_Sn]]*_xlfn.XLOOKUP(Tab_NewTRADER[[#This Row],[ClickTick]],TabCalc[Ticker],TabCalc[NAfter]))</f>
        <v>-6.1059569174898472E-3</v>
      </c>
      <c r="BT21" s="687">
        <f ca="1">(Tab_NewTRADER[[#This Row],[M]]-Tab_NewTRADER[[#This Row],[Agiotage]])/(Tab_NewTRADER[[#This Row],[M]]-Tab_NewTRADER[[#This Row],[A]])-1</f>
        <v>143.81675035551834</v>
      </c>
      <c r="BU21" s="1277">
        <f ca="1">_xlfn.XMATCH(Tab_NewTRADER[[#This Row],[ClickTick]]&amp;1, TabConsolid[#Headers])</f>
        <v>56</v>
      </c>
      <c r="BV21" t="b">
        <f ca="1">IF(ABS(Tab_NewTRADER[[#This Row],[L_Bp]])&gt;=Tab_NewTRADER[[#This Row],[M]],"OK")</f>
        <v>0</v>
      </c>
    </row>
    <row r="22" spans="1:74"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43"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E22" s="1195" t="str" cm="1">
        <f t="array" aca="1" ref="AE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2" s="1177" t="str" cm="1">
        <f t="array" aca="1" ref="AF22" ca="1">_xlfn.IFS(       Tab_NewTRADER[[#This Row],[Trap_vs_Last]]=RePurchaseGain,TEXT(Tab_NewTRADER[[#This Row],[L_Sn]],"#,#0")&amp;" x "&amp;TEXT(Tab_NewTRADER[[#This Row],[L_Sp]],"#,#0.#0"),     Tab_NewTRADER[[#This Row],[Trap_vs_Last]]=ReSaleGain,Tab_NewTRADER[[#This Row],[ToSell]],               TRUE,"")</f>
        <v/>
      </c>
      <c r="AG22" s="1177" t="str" cm="1">
        <f t="array" aca="1" ref="AG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H22" s="1370" t="str">
        <f ca="1">TEXT(MIN(Tab_NewTRADER[[#This Row],[L_Bn]],Tab_NewTRADER[[#This Row],[N]]),"#,#0")&amp;" x "&amp;TEXT(Tab_NewTRADER[[#This Row],[L_Bp]],"#,#0.#0")</f>
        <v>12,000 x -1.72</v>
      </c>
      <c r="AI22" s="1370">
        <f ca="1">IF(Tab_NewTRADER[[#This Row],[M]]&lt;_xlfn.XLOOKUP(Tab_NewTRADER[[#This Row],[ClickTick]],TabCalc[Ticker],TabCalc[Max_Buy_P]), 0,Tab_NewTRADER[[#This Row],[Sale_Back_$]])</f>
        <v>0</v>
      </c>
      <c r="AJ22" s="1370" t="str">
        <f ca="1">TEXT(Tab_NewTRADER[[#This Row],[L_Sn]],"#,#0")&amp;" ("&amp;Tab_NewTRADER[[#This Row],[M]]&amp;"/"&amp;TEXT(Tab_NewTRADER[[#This Row],[L_Sp]],"#,#0.#0)")</f>
        <v>10,000 (0.2012/5.77)</v>
      </c>
      <c r="AK22" s="1370">
        <f ca="1">IF(Tab_NewTRADER[[#This Row],[M]]&lt;_xlfn.XLOOKUP(Tab_NewTRADER[[#This Row],[ClickTick]],TabCalc[Ticker],TabCalc[Max_Buy_P]), -Tab_NewTRADER[[#This Row],[Buy_Back]], 0)</f>
        <v>55543.211199999991</v>
      </c>
      <c r="AL22" s="1177" cm="1">
        <f t="array" aca="1" ref="AL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M22" s="1177">
        <f ca="1">Tab_NewTRADER[[#This Row],[N]]*(Tab_NewTRADER[[#This Row],[M]]-Tab_NewTRADER[[#This Row],[A]])*(1-Commission)*Tab_NewTRADER[[#This Row],[Scale]]</f>
        <v>-57620.196959999994</v>
      </c>
      <c r="AN22" s="1177">
        <f ca="1">Tab_NewTRADER[[#This Row],[M]]*Tab_NewTRADER[[#This Row],[N]]*(1-Commission)*Tab_NewTRADER[[#This Row],[Scale]]</f>
        <v>6020.3063999999995</v>
      </c>
      <c r="AO22" s="1186" cm="1">
        <f t="array" aca="1" ref="AO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P22" s="1186" cm="1">
        <f t="array" aca="1" ref="AP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Tab_NewTRADER[[#This Row],[Trap_vs_Last]]=SellMorePercentGain,                     MIN(Tab_NewTRADER[[#This Row],[L_Sn]],Tab_NewTRADER[[#This Row],[N]])*(Tab_NewTRADER[[#This Row],[M]]-Tab_NewTRADER[[#This Row],[L_Sp]])*(1-Commission)*Tab_NewTRADER[[#This Row],[Scale]],                    TRUE,"")</f>
        <v/>
      </c>
      <c r="AR22" s="1192">
        <f ca="1">_xlfn.XLOOKUP(Tab_NewTRADER[[#This Row],[ClickTick]],TabCalc[Ticker],TabCalc[Ann%RevLB])</f>
        <v>-1.1272637308263236</v>
      </c>
      <c r="AS22" s="1175">
        <f ca="1">_xlfn.XLOOKUP(Tab_NewTRADER[[#This Row],[ClickTick]],TabCalc[Ticker],TabCalc[Up20])</f>
        <v>0</v>
      </c>
      <c r="AT22" s="1187" cm="1">
        <f t="array" aca="1" ref="AT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22" s="825" cm="1">
        <f t="array" aca="1" ref="AU22" ca="1">_xlfn.IFS(         Tab_NewTRADER[[#This Row],[Trap_vs_Last]]=MDown,Tab_NewTRADER[[#This Row],[L_Bn]]*Tab_NewTRADER[[#This Row],[M]]*(-(Tab_NewTRADER[[#This Row],[L_Bp]]+Tab_NewTRADER[[#This Row],[M]])/Tab_NewTRADER[[#This Row],[M]])*(1-Commission)*Tab_NewTRADER[[#This Row],[Scale]],                               TRUE,"")</f>
        <v>18178.21344</v>
      </c>
      <c r="AV22" s="1186" cm="1">
        <f t="array" aca="1" ref="AV22" ca="1">_xlfn.IFS(   Tab_NewTRADER[[#This Row],[Trap_vs_Last]]=MUp,Tab_NewTRADER[[#This Row],[TakeGain_A]]-Commission,        Tab_NewTRADER[[#This Row],[Trap_vs_Last]]=MDown,(Tab_NewTRADER[[#This Row],[A]]-Tab_NewTRADER[[#This Row],[M]])/Tab_NewTRADER[[#This Row],[M]]-Commission,                              TRUE,"")</f>
        <v>9.5683741550695824</v>
      </c>
      <c r="AW22" s="825" cm="1">
        <f t="array" aca="1" ref="AW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X22" s="760" t="str" cm="1">
        <f t="array" aca="1" ref="AX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-0.7%</v>
      </c>
      <c r="AY22" s="736" cm="1">
        <f t="array" aca="1" ref="AY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22" s="765" cm="1">
        <f t="array" aca="1" ref="AZ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A22" s="762" cm="1">
        <f t="array" aca="1" ref="BA22" ca="1">_xlfn.IFS(               Tab_NewTRADER[[#This Row],[Trap_vs_Last]]=NoStock,(Tab_NewTRADER[[#This Row],[L_Sp]]-Tab_NewTRADER[[#This Row],[M]])/Tab_NewTRADER[[#This Row],[M]]-Commission,             Tab_NewTRADER[[#This Row],[A]]&lt;&gt;0,(Tab_NewTRADER[[#This Row],[A]]-Tab_NewTRADER[[#This Row],[M]])/Tab_NewTRADER[[#This Row],[M]]-Commission)</f>
        <v>9.5683741550695824</v>
      </c>
      <c r="BB22" s="324">
        <f ca="1">_xlfn.XLOOKUP(Tab_NewTRADER[[#This Row],[ClickTick]],TabCalc[Ticker],TabCalc[L_Sn])</f>
        <v>10000</v>
      </c>
      <c r="BC22" s="728">
        <f ca="1">_xlfn.XLOOKUP(Tab_NewTRADER[[#This Row],[ClickTick]],TabCalc[Ticker],TabCalc[L_Sp])</f>
        <v>5.77</v>
      </c>
      <c r="BD22" s="764">
        <f ca="1">-IFERROR((Tab_NewTRADER[[#This Row],[M]]-Tab_NewTRADER[[#This Row],[L_Sp]])/Tab_NewTRADER[[#This Row],[L_Sp]],0)</f>
        <v>0.96512998266897743</v>
      </c>
      <c r="BE22" s="729">
        <f ca="1">MIN(Tab_NewTRADER[[#This Row],[L_Sn]],Tab_NewTRADER[[#This Row],[N]])*(Tab_NewTRADER[[#This Row],[M]]-Tab_NewTRADER[[#This Row],[L_Sp]])*(1-Commission)*Tab_NewTRADER[[#This Row],[Scale]]</f>
        <v>-55543.211199999991</v>
      </c>
      <c r="BF22" s="692">
        <f ca="1">Tab_NewTRADER[[#This Row],[L_Sn]]*(Tab_NewTRADER[[#This Row],[Agiotage]]-Tab_NewTRADER[[#This Row],[M]])/(Tab_NewTRADER[[#This Row],[L_Bn]]*Tab_NewTRADER[[#This Row],[M]])</f>
        <v>6.8384526267689694</v>
      </c>
      <c r="BG22" s="635">
        <f ca="1">IFERROR((Tab_NewTRADER[[#This Row],[M]]-Tab_NewTRADER[[#This Row],[A]])/Tab_NewTRADER[[#This Row],[A]],0)</f>
        <v>-0.90540133905062814</v>
      </c>
      <c r="BH22" s="638" t="str">
        <f ca="1">TEXT(_xlfn.XLOOKUP(Tab_NewTRADER[[#This Row],[ClickTick]],TabCalc[Ticker],TabCalc[NAfter]),"#,#0")&amp;" : "&amp;TEXT(_xlfn.XLOOKUP(Tab_NewTRADER[[#This Row],[ClickTick]],TabCalc[Ticker],TabCalc[NAfter])*(Tab_NewTRADER[[#This Row],[M]]-Tab_NewTRADER[[#This Row],[A]])*(1-Commission)*Tab_NewTRADER[[#This Row],[Scale]],"#,#0$")</f>
        <v>30,000 : -57,620$</v>
      </c>
      <c r="BI22" s="684">
        <f ca="1">_xlfn.XLOOKUP(Tab_NewTRADER[[#This Row],[ClickTick]],TabCalc[[#This Row],[Ticker]],TabCalc[[#This Row],[GL]])*(1-Commission)</f>
        <v>-331.37178743999272</v>
      </c>
      <c r="BJ22" s="684"/>
      <c r="BK22" s="669" t="str">
        <f ca="1">Tab_NewTRADER[[#This Row],[ClickTick]]&amp;": "&amp;_xlfn.XLOOKUP(Tab_NewTRADER[[#This Row],[ClickTick]],TabCalc[Ticker],TabCalc[Pile?])</f>
        <v xml:space="preserve">EPIX: </v>
      </c>
      <c r="BL22" s="351" t="s">
        <v>2038</v>
      </c>
      <c r="BM22" s="755" t="str" cm="1">
        <f t="array" aca="1" ref="BM22" ca="1">_xlfn.TEXTJOIN("",,INDEX({"M","A","Y"}, _xlfn.SORTBY({1,2,3}, -CHOOSE({1,2,3}, Tab_NewTRADER[[#This Row],[M]], Tab_NewTRADER[[#This Row],[A]], Tab_NewTRADER[[#This Row],[Agiotage]]))))</f>
        <v>AYM</v>
      </c>
      <c r="BN22" s="909" cm="1">
        <f t="array" aca="1" ref="BN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22" s="679" t="e">
        <f ca="1">Tab_NewTRADER[[#This Row],[L_Sn]]*Tab_NewTRADER[[#This Row],[L_Sp]]+Tab_NewTRADER[[#This Row],[SellMore]]*Tab_NewTRADER[[#This Row],[M]]</f>
        <v>#N/A</v>
      </c>
      <c r="BP22" s="679" t="e">
        <f ca="1">INDEX(
  INDEX(TabConsolid[], , _xlfn.XMATCH(Tab_NewTRADER[[#This Row],[ClickTick]]&amp;1, TabConsolid[#Headers])),
  MATCH(
    -Tab_NewTRADER[[#This Row],[M]],
    INDEX(TabConsolid[], , _xlfn.XMATCH(Tab_NewTRADER[[#This Row],[ClickTick]]&amp;2, TabConsolid[#Headers])),
    -1
  )
)</f>
        <v>#N/A</v>
      </c>
      <c r="BQ22" s="679" cm="1">
        <f t="array" aca="1" ref="BQ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22" s="1156" t="e">
        <f ca="1">Tab_NewTRADER[[#This Row],[ReBuy]]/(Tab_NewTRADER[[#This Row],[L_Sn]]+Tab_NewTRADER[[#This Row],[SellMore]])</f>
        <v>#N/A</v>
      </c>
      <c r="BS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T22" s="687">
        <f ca="1">(Tab_NewTRADER[[#This Row],[M]]-Tab_NewTRADER[[#This Row],[Agiotage]])/(Tab_NewTRADER[[#This Row],[M]]-Tab_NewTRADER[[#This Row],[A]])-1</f>
        <v>-0.1426010540655247</v>
      </c>
      <c r="BU22" s="1277">
        <f ca="1">_xlfn.XMATCH(Tab_NewTRADER[[#This Row],[ClickTick]]&amp;1, TabConsolid[#Headers])</f>
        <v>59</v>
      </c>
      <c r="BV22" t="str">
        <f ca="1">IF(ABS(Tab_NewTRADER[[#This Row],[L_Bp]])&gt;=Tab_NewTRADER[[#This Row],[M]],"OK")</f>
        <v>OK</v>
      </c>
    </row>
    <row r="23" spans="1:74"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+240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33.9%</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271$</v>
      </c>
      <c r="G23" s="225" t="str">
        <f ca="1">IFERROR(TRUNC(_xlfn.XLOOKUP(Tab_NewTRADER[[#This Row],[ClickTick]],TabCalc[Ticker],ListLastSalep),2)&amp;"x"&amp;_xlfn.XLOOKUP(Tab_NewTRADER[[#This Row],[ClickTick]],TabCalc[Ticker],ListLastSalen)&amp;"=   "&amp;TEXT(-_xlfn.XLOOKUP(Tab_NewTRADER[[#This Row],[ClickTick]],TabCalc[Ticker],ListReverseB),"#,#0")&amp;"$","")</f>
        <v>47.63x990=   22,797$</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-32.6% = 0</v>
      </c>
      <c r="I23" s="226" t="str">
        <f ca="1">IFERROR(TRUNC(TabCalc[[#This Row],[L_S1p]],2)&amp;"x"&amp;TabCalc[[#This Row],[L_S1n]]&amp;"=   "&amp;TEXT(TabCalc[[#This Row],[ReverseB1]],"#,#0"),"")</f>
        <v>46.95x990=   -23,473</v>
      </c>
      <c r="J23" s="295">
        <f ca="1">_xlfn.XLOOKUP(Tab_NewTRADER[[#This Row],[ClickTick]],TabCalc[Ticker],ListGravity)</f>
        <v>1.0352936597792246</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0.5369764209337996</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0.51384008912503198</v>
      </c>
      <c r="S23" s="683">
        <f ca="1">_xlfn.XLOOKUP(Tab_NewTRADER[[#This Row],[ClickTick]],TabCalc[Ticker],TabCalc[Rev(MinStock)])*(1-Commission)</f>
        <v>239.21641599999992</v>
      </c>
      <c r="T23" s="1367">
        <f ca="1">_xlfn.XLOOKUP(Tab_NewTRADER[[#This Row],[ClickTick]],TabCalc[Ticker],TabCalc[Agiotage])</f>
        <v>0.5369764209337996</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17/17=&gt;2.6% / 2.6%</v>
      </c>
      <c r="V23" s="739" t="str">
        <f ca="1">_xlfn.XLOOKUP(Tab_NewTRADER[[#This Row],[ClickTick]],[1]!RTData[Ticker_Symbol],[1]!RTData[Currency])</f>
        <v>USD</v>
      </c>
      <c r="W23" s="749">
        <f ca="1">_xlfn.XLOOKUP(Tab_NewTRADER[[#This Row],[ClickTick]],TabCalc[Ticker],TabCalc[M])</f>
        <v>70.66</v>
      </c>
      <c r="X23" s="1343"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E23" s="1195" t="str" cm="1">
        <f t="array" aca="1" ref="AE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3" s="1177" t="str" cm="1">
        <f t="array" aca="1" ref="AF23" ca="1">_xlfn.IFS(       Tab_NewTRADER[[#This Row],[Trap_vs_Last]]=RePurchaseGain,TEXT(Tab_NewTRADER[[#This Row],[L_Sn]],"#,#0")&amp;" x "&amp;TEXT(Tab_NewTRADER[[#This Row],[L_Sp]],"#,#0.#0"),     Tab_NewTRADER[[#This Row],[Trap_vs_Last]]=ReSaleGain,Tab_NewTRADER[[#This Row],[ToSell]],               TRUE,"")</f>
        <v/>
      </c>
      <c r="AG23" s="1177" t="str" cm="1">
        <f t="array" aca="1" ref="AG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H23" s="1370" t="str">
        <f ca="1">TEXT(MIN(Tab_NewTRADER[[#This Row],[L_Bn]],Tab_NewTRADER[[#This Row],[N]]),"#,#0")&amp;" x "&amp;TEXT(Tab_NewTRADER[[#This Row],[L_Bp]],"#,#0.#0")</f>
        <v>10 x -46.68</v>
      </c>
      <c r="AI23" s="1370">
        <f ca="1">IF(Tab_NewTRADER[[#This Row],[M]]&lt;_xlfn.XLOOKUP(Tab_NewTRADER[[#This Row],[ClickTick]],TabCalc[Ticker],TabCalc[Max_Buy_P]), 0,Tab_NewTRADER[[#This Row],[Sale_Back_$]])</f>
        <v>239.21641599999992</v>
      </c>
      <c r="AJ23" s="1370" t="str">
        <f ca="1">TEXT(Tab_NewTRADER[[#This Row],[L_Sn]],"#,#0")&amp;" ("&amp;Tab_NewTRADER[[#This Row],[M]]&amp;"/"&amp;TEXT(Tab_NewTRADER[[#This Row],[L_Sp]],"#,#0.#0)")</f>
        <v>990 (70.66/47.63)</v>
      </c>
      <c r="AK23" s="1370">
        <f ca="1">IF(Tab_NewTRADER[[#This Row],[M]]&lt;_xlfn.XLOOKUP(Tab_NewTRADER[[#This Row],[ClickTick]],TabCalc[Ticker],TabCalc[Max_Buy_P]), -Tab_NewTRADER[[#This Row],[Buy_Back]], 0)</f>
        <v>0</v>
      </c>
      <c r="AL23" s="1177" cm="1">
        <f t="array" aca="1" ref="AL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229.67129799999992</v>
      </c>
      <c r="AM23" s="760">
        <f ca="1">Tab_NewTRADER[[#This Row],[N]]*(Tab_NewTRADER[[#This Row],[M]]-Tab_NewTRADER[[#This Row],[A]])*(1-Commission)*Tab_NewTRADER[[#This Row],[Scale]]</f>
        <v>239.21641599999992</v>
      </c>
      <c r="AN23" s="760">
        <f ca="1">Tab_NewTRADER[[#This Row],[M]]*Tab_NewTRADER[[#This Row],[N]]*(1-Commission)*Tab_NewTRADER[[#This Row],[Scale]]</f>
        <v>704.76283999999987</v>
      </c>
      <c r="AO23" s="1186" cm="1">
        <f t="array" aca="1" ref="AO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0.51384008912503198</v>
      </c>
      <c r="AP23" s="1186" cm="1">
        <f t="array" aca="1" ref="AP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0.32328451740730252</v>
      </c>
      <c r="AQ23" s="825" cm="1">
        <f t="array" aca="1" ref="AQ23" ca="1">_xlfn.IFS(   Tab_NewTRADER[[#This Row],[Trap_vs_Last]]=SellMorePercentGain,                     MIN(Tab_NewTRADER[[#This Row],[L_Sn]],Tab_NewTRADER[[#This Row],[N]])*(Tab_NewTRADER[[#This Row],[M]]-Tab_NewTRADER[[#This Row],[L_Sp]])*(1-Commission)*Tab_NewTRADER[[#This Row],[Scale]],                    TRUE,"")</f>
        <v>229.67129799999992</v>
      </c>
      <c r="AR23" s="1341">
        <f ca="1">_xlfn.XLOOKUP(Tab_NewTRADER[[#This Row],[ClickTick]],TabCalc[Ticker],TabCalc[Ann%RevLB])</f>
        <v>0.40477556254925934</v>
      </c>
      <c r="AS23" s="1282">
        <f ca="1">_xlfn.XLOOKUP(Tab_NewTRADER[[#This Row],[ClickTick]],TabCalc[Ticker],TabCalc[Up20])</f>
        <v>0</v>
      </c>
      <c r="AT23" s="1368" t="str" cm="1">
        <f t="array" aca="1" ref="AT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3" s="825" t="str" cm="1">
        <f t="array" aca="1" ref="AU23" ca="1">_xlfn.IFS(         Tab_NewTRADER[[#This Row],[Trap_vs_Last]]=MDown,Tab_NewTRADER[[#This Row],[L_Bn]]*Tab_NewTRADER[[#This Row],[M]]*(-(Tab_NewTRADER[[#This Row],[L_Bp]]+Tab_NewTRADER[[#This Row],[M]])/Tab_NewTRADER[[#This Row],[M]])*(1-Commission)*Tab_NewTRADER[[#This Row],[Scale]],                               TRUE,"")</f>
        <v/>
      </c>
      <c r="AV23" s="1186" cm="1">
        <f t="array" aca="1" ref="AV23" ca="1">_xlfn.IFS(   Tab_NewTRADER[[#This Row],[Trap_vs_Last]]=MUp,Tab_NewTRADER[[#This Row],[TakeGain_A]]-Commission,        Tab_NewTRADER[[#This Row],[Trap_vs_Last]]=MDown,(Tab_NewTRADER[[#This Row],[A]]-Tab_NewTRADER[[#This Row],[M]])/Tab_NewTRADER[[#This Row],[M]]-Commission,                              TRUE,"")</f>
        <v>0.51124008912503194</v>
      </c>
      <c r="AW23" s="760" cm="1">
        <f t="array" aca="1" ref="AW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362.13540051761055</v>
      </c>
      <c r="AX23" s="760" t="str" cm="1">
        <f t="array" aca="1" ref="AX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23" s="736" t="str" cm="1">
        <f t="array" aca="1" ref="AY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10x23.98</v>
      </c>
      <c r="AZ23" s="765" cm="1">
        <f t="array" aca="1" ref="AZ23" ca="1">_xlfn.IFS(Tab_NewTRADER[[#This Row],[Trap_vs_Last]]=ReSaleGain,"",         Tab_NewTRADER[[#This Row],[Trap_vs_Last]]=MDown, (Tab_NewTRADER[[#This Row],[M]]-Tab_NewTRADER[[#This Row],[A]])/Tab_NewTRADER[[#This Row],[A]]*ComFactor,             TRUE, IFERROR((Tab_NewTRADER[[#This Row],[M]]-Tab_NewTRADER[[#This Row],[A]])/Tab_NewTRADER[[#This Row],[A]]*ComFactor,""))</f>
        <v>0.51250410489330689</v>
      </c>
      <c r="BA23" s="762" cm="1">
        <f t="array" aca="1" ref="BA23" ca="1">_xlfn.IFS(               Tab_NewTRADER[[#This Row],[Trap_vs_Last]]=NoStock,(Tab_NewTRADER[[#This Row],[L_Sp]]-Tab_NewTRADER[[#This Row],[M]])/Tab_NewTRADER[[#This Row],[M]]-Commission,             Tab_NewTRADER[[#This Row],[A]]&lt;&gt;0,(Tab_NewTRADER[[#This Row],[A]]-Tab_NewTRADER[[#This Row],[M]])/Tab_NewTRADER[[#This Row],[M]]-Commission)</f>
        <v>-0.34202824794791953</v>
      </c>
      <c r="BB23" s="1369">
        <f ca="1">_xlfn.XLOOKUP(Tab_NewTRADER[[#This Row],[ClickTick]],TabCalc[Ticker],TabCalc[L_Sn])</f>
        <v>990</v>
      </c>
      <c r="BC23" s="728">
        <f ca="1">_xlfn.XLOOKUP(Tab_NewTRADER[[#This Row],[ClickTick]],TabCalc[Ticker],TabCalc[L_Sp])</f>
        <v>47.633000000000003</v>
      </c>
      <c r="BD23" s="764">
        <f ca="1">-IFERROR((Tab_NewTRADER[[#This Row],[M]]-Tab_NewTRADER[[#This Row],[L_Sp]])/Tab_NewTRADER[[#This Row],[L_Sp]],0)</f>
        <v>-0.48342535637058326</v>
      </c>
      <c r="BE23" s="729">
        <f ca="1">MIN(Tab_NewTRADER[[#This Row],[L_Sn]],Tab_NewTRADER[[#This Row],[N]])*(Tab_NewTRADER[[#This Row],[M]]-Tab_NewTRADER[[#This Row],[L_Sp]])*(1-Commission)*Tab_NewTRADER[[#This Row],[Scale]]</f>
        <v>229.67129799999992</v>
      </c>
      <c r="BF23" s="692">
        <f ca="1">Tab_NewTRADER[[#This Row],[L_Sn]]*(Tab_NewTRADER[[#This Row],[Agiotage]]-Tab_NewTRADER[[#This Row],[M]])/(Tab_NewTRADER[[#This Row],[L_Bn]]*Tab_NewTRADER[[#This Row],[M]])</f>
        <v>-0.99240056013396838</v>
      </c>
      <c r="BG23" s="635">
        <f ca="1">IFERROR((Tab_NewTRADER[[#This Row],[M]]-Tab_NewTRADER[[#This Row],[A]])/Tab_NewTRADER[[#This Row],[A]],0)</f>
        <v>0.51384008912503198</v>
      </c>
      <c r="BH23" s="638" t="str">
        <f ca="1">TEXT(_xlfn.XLOOKUP(Tab_NewTRADER[[#This Row],[ClickTick]],TabCalc[Ticker],TabCalc[NAfter]),"#,#0")&amp;" : "&amp;TEXT(_xlfn.XLOOKUP(Tab_NewTRADER[[#This Row],[ClickTick]],TabCalc[Ticker],TabCalc[NAfter])*(Tab_NewTRADER[[#This Row],[M]]-Tab_NewTRADER[[#This Row],[A]])*(1-Commission)*Tab_NewTRADER[[#This Row],[Scale]],"#,#0$")</f>
        <v>10 : 239$</v>
      </c>
      <c r="BI23" s="684">
        <f ca="1">_xlfn.XLOOKUP(Tab_NewTRADER[[#This Row],[ClickTick]],TabCalc[[#This Row],[Ticker]],TabCalc[[#This Row],[GL]])*(1-Commission)</f>
        <v>14377.052222</v>
      </c>
      <c r="BJ23" s="684"/>
      <c r="BK23" s="669" t="str">
        <f ca="1">Tab_NewTRADER[[#This Row],[ClickTick]]&amp;": "&amp;_xlfn.XLOOKUP(Tab_NewTRADER[[#This Row],[ClickTick]],TabCalc[Ticker],TabCalc[Pile?])</f>
        <v>GM: Pile</v>
      </c>
      <c r="BL23" s="351" t="s">
        <v>2072</v>
      </c>
      <c r="BM23" s="755" t="str" cm="1">
        <f t="array" aca="1" ref="BM23" ca="1">_xlfn.TEXTJOIN("",,INDEX({"M","A","Y"}, _xlfn.SORTBY({1,2,3}, -CHOOSE({1,2,3}, Tab_NewTRADER[[#This Row],[M]], Tab_NewTRADER[[#This Row],[A]], Tab_NewTRADER[[#This Row],[Agiotage]]))))</f>
        <v>MAY</v>
      </c>
      <c r="BN23" s="909" cm="1">
        <f t="array" aca="1" ref="BN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0.32588451740730251</v>
      </c>
      <c r="BO23" s="679">
        <f ca="1">Tab_NewTRADER[[#This Row],[L_Sn]]*Tab_NewTRADER[[#This Row],[L_Sp]]+Tab_NewTRADER[[#This Row],[SellMore]]*Tab_NewTRADER[[#This Row],[M]]</f>
        <v>47863.270000000004</v>
      </c>
      <c r="BP23" s="679">
        <f ca="1">INDEX(
  INDEX(TabConsolid[], , _xlfn.XMATCH(Tab_NewTRADER[[#This Row],[ClickTick]]&amp;1, TabConsolid[#Headers])),
  MATCH(
    -Tab_NewTRADER[[#This Row],[M]],
    INDEX(TabConsolid[], , _xlfn.XMATCH(Tab_NewTRADER[[#This Row],[ClickTick]]&amp;2, TabConsolid[#Headers])),
    -1
  )
)</f>
        <v>10</v>
      </c>
      <c r="BQ23" s="679" cm="1">
        <f t="array" aca="1" ref="BQ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3" s="1156">
        <f ca="1">Tab_NewTRADER[[#This Row],[ReBuy]]/(Tab_NewTRADER[[#This Row],[L_Sn]]+Tab_NewTRADER[[#This Row],[SellMore]])</f>
        <v>47.863270000000007</v>
      </c>
      <c r="BS23" s="687">
        <f ca="1">((_xlfn.XLOOKUP(Tab_NewTRADER[[#This Row],[ClickTick]],TabCalc[Ticker],TabCalc[NAfter])+Tab_NewTRADER[[#This Row],[L_Sn]])*(Tab_NewTRADER[[#This Row],[Agiotage]]-Tab_NewTRADER[[#This Row],[M]]))/(Tab_NewTRADER[[#This Row],[L_Sn]]*_xlfn.XLOOKUP(Tab_NewTRADER[[#This Row],[ClickTick]],TabCalc[Ticker],TabCalc[NAfter]))</f>
        <v>-7.0831336948551717</v>
      </c>
      <c r="BT23" s="687">
        <f ca="1">(Tab_NewTRADER[[#This Row],[M]]-Tab_NewTRADER[[#This Row],[Agiotage]])/(Tab_NewTRADER[[#This Row],[M]]-Tab_NewTRADER[[#This Row],[A]])-1</f>
        <v>1.9237418103346489</v>
      </c>
      <c r="BU23" s="1277">
        <f ca="1">_xlfn.XMATCH(Tab_NewTRADER[[#This Row],[ClickTick]]&amp;1, TabConsolid[#Headers])</f>
        <v>62</v>
      </c>
      <c r="BV23" t="b">
        <f ca="1">IF(ABS(Tab_NewTRADER[[#This Row],[L_Bp]])&gt;=Tab_NewTRADER[[#This Row],[M]],"OK")</f>
        <v>0</v>
      </c>
    </row>
    <row r="24" spans="1:74"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+1,386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6,944</v>
      </c>
      <c r="F24" s="226" t="str">
        <f ca="1">TRUNC(TabCalc[[#This Row],[L_B1p]],2)&amp;"x"&amp;TabCalc[[#This Row],[L_B1n]]&amp;"=   "&amp;TEXT(TabCalc[[#This Row],[ReverseS1]],"#,#0")&amp;"$"</f>
        <v>-24.92x1200=   -1,824$</v>
      </c>
      <c r="G24" s="225" t="str">
        <f ca="1">IFERROR(TRUNC(_xlfn.XLOOKUP(Tab_NewTRADER[[#This Row],[ClickTick]],TabCalc[Ticker],ListLastSalep),2)&amp;"x"&amp;_xlfn.XLOOKUP(Tab_NewTRADER[[#This Row],[ClickTick]],TabCalc[Ticker],ListLastSalen)&amp;"=   "&amp;TEXT(-_xlfn.XLOOKUP(Tab_NewTRADER[[#This Row],[ClickTick]],TabCalc[Ticker],ListReverseB),"#,#0")&amp;"$","")</f>
        <v>24.12x1800=   -1,296$</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 = 6,944</v>
      </c>
      <c r="I24" s="226" t="str">
        <f ca="1">IFERROR(TRUNC(TabCalc[[#This Row],[L_S1p]],2)&amp;"x"&amp;TabCalc[[#This Row],[L_S1n]]&amp;"=   "&amp;TEXT(TabCalc[[#This Row],[ReverseB1]],"#,#0"),"")</f>
        <v>26.07x1200=   3,204</v>
      </c>
      <c r="J24" s="295">
        <f ca="1">_xlfn.XLOOKUP(Tab_NewTRADER[[#This Row],[ClickTick]],TabCalc[Ticker],ListGravity)</f>
        <v>1.1329961538461539</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0.50246663956149196</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3.402562969509499E-2</v>
      </c>
      <c r="S24" s="683">
        <f ca="1">_xlfn.XLOOKUP(Tab_NewTRADER[[#This Row],[ClickTick]],TabCalc[Ticker],TabCalc[Rev(MinStock)])*(1-Commission)</f>
        <v>1382.3963999999992</v>
      </c>
      <c r="T24" s="782">
        <f ca="1">_xlfn.XLOOKUP(Tab_NewTRADER[[#This Row],[ClickTick]],TabCalc[Ticker],TabCalc[Agiotage])</f>
        <v>0.50246663956149196</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1,196/1,196=&gt;0.0% / 0.0%</v>
      </c>
      <c r="V24" s="739" t="str">
        <f ca="1">_xlfn.XLOOKUP(Tab_NewTRADER[[#This Row],[ClickTick]],[1]!RTData[Ticker_Symbol],[1]!RTData[Currency])</f>
        <v>USD</v>
      </c>
      <c r="W24" s="749">
        <f ca="1">_xlfn.XLOOKUP(Tab_NewTRADER[[#This Row],[ClickTick]],TabCalc[Ticker],TabCalc[M])</f>
        <v>23.4</v>
      </c>
      <c r="X24" s="1343"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^179 / 215 K$</v>
      </c>
      <c r="AE24" s="1173" t="str" cm="1">
        <f t="array" aca="1" ref="AE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24" s="1177" t="str" cm="1">
        <f t="array" aca="1" ref="AF24" ca="1">_xlfn.IFS(       Tab_NewTRADER[[#This Row],[Trap_vs_Last]]=RePurchaseGain,TEXT(Tab_NewTRADER[[#This Row],[L_Sn]],"#,#0")&amp;" x "&amp;TEXT(Tab_NewTRADER[[#This Row],[L_Sp]],"#,#0.#0"),     Tab_NewTRADER[[#This Row],[Trap_vs_Last]]=ReSaleGain,Tab_NewTRADER[[#This Row],[ToSell]],               TRUE,"")</f>
        <v>1,800 x 24.12</v>
      </c>
      <c r="AG24" s="1177" cm="1">
        <f t="array" aca="1" ref="AG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1292.6304000000043</v>
      </c>
      <c r="AH24" s="1370" t="str">
        <f ca="1">TEXT(MIN(Tab_NewTRADER[[#This Row],[L_Bn]],Tab_NewTRADER[[#This Row],[N]]),"#,#0")&amp;" x "&amp;TEXT(Tab_NewTRADER[[#This Row],[L_Bp]],"#,#0.#0")</f>
        <v>1,800 x -22.63</v>
      </c>
      <c r="AI24" s="1370">
        <f ca="1">IF(Tab_NewTRADER[[#This Row],[M]]&lt;_xlfn.XLOOKUP(Tab_NewTRADER[[#This Row],[ClickTick]],TabCalc[Ticker],TabCalc[Max_Buy_P]), 0,Tab_NewTRADER[[#This Row],[Sale_Back_$]])</f>
        <v>0</v>
      </c>
      <c r="AJ24" s="1370" t="str">
        <f ca="1">TEXT(Tab_NewTRADER[[#This Row],[L_Sn]],"#,#0")&amp;" ("&amp;Tab_NewTRADER[[#This Row],[M]]&amp;"/"&amp;TEXT(Tab_NewTRADER[[#This Row],[L_Sp]],"#,#0.#0)")</f>
        <v>1,800 (23.4/24.12)</v>
      </c>
      <c r="AK24" s="1370">
        <f ca="1">IF(Tab_NewTRADER[[#This Row],[M]]&lt;_xlfn.XLOOKUP(Tab_NewTRADER[[#This Row],[ClickTick]],TabCalc[Ticker],TabCalc[Max_Buy_P]), -Tab_NewTRADER[[#This Row],[Buy_Back]], 0)</f>
        <v>1292.6304000000043</v>
      </c>
      <c r="AL24" s="1177" t="str" cm="1">
        <f t="array" aca="1" ref="AL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4" s="760">
        <f ca="1">Tab_NewTRADER[[#This Row],[N]]*(Tab_NewTRADER[[#This Row],[M]]-Tab_NewTRADER[[#This Row],[A]])*(1-Commission)*Tab_NewTRADER[[#This Row],[Scale]]</f>
        <v>27656.074763199984</v>
      </c>
      <c r="AN24" s="760">
        <f ca="1">Tab_NewTRADER[[#This Row],[M]]*Tab_NewTRADER[[#This Row],[N]]*(1-Commission)*Tab_NewTRADER[[#This Row],[Scale]]</f>
        <v>214720.272</v>
      </c>
      <c r="AO24" s="1186" cm="1">
        <f t="array" aca="1" ref="AO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2.9850746268656816E-2</v>
      </c>
      <c r="AP24" s="1186" t="str" cm="1">
        <f t="array" aca="1" ref="AP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Tab_NewTRADER[[#This Row],[Trap_vs_Last]]=SellMorePercentGain,                     MIN(Tab_NewTRADER[[#This Row],[L_Sn]],Tab_NewTRADER[[#This Row],[N]])*(Tab_NewTRADER[[#This Row],[M]]-Tab_NewTRADER[[#This Row],[L_Sp]])*(1-Commission)*Tab_NewTRADER[[#This Row],[Scale]],                    TRUE,"")</f>
        <v/>
      </c>
      <c r="AR24" s="1175">
        <f ca="1">_xlfn.XLOOKUP(Tab_NewTRADER[[#This Row],[ClickTick]],TabCalc[Ticker],TabCalc[Ann%RevLB])</f>
        <v>0.68051259390189978</v>
      </c>
      <c r="AS24" s="1282">
        <f ca="1">_xlfn.XLOOKUP(Tab_NewTRADER[[#This Row],[ClickTick]],TabCalc[Ticker],TabCalc[Up20])</f>
        <v>0</v>
      </c>
      <c r="AT24" s="1187" t="str" cm="1">
        <f t="array" aca="1" ref="AT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4" s="825" t="str" cm="1">
        <f t="array" aca="1" ref="AU24" ca="1">_xlfn.IFS(         Tab_NewTRADER[[#This Row],[Trap_vs_Last]]=MDown,Tab_NewTRADER[[#This Row],[L_Bn]]*Tab_NewTRADER[[#This Row],[M]]*(-(Tab_NewTRADER[[#This Row],[L_Bp]]+Tab_NewTRADER[[#This Row],[M]])/Tab_NewTRADER[[#This Row],[M]])*(1-Commission)*Tab_NewTRADER[[#This Row],[Scale]],                               TRUE,"")</f>
        <v/>
      </c>
      <c r="AV24" s="1186" t="str" cm="1">
        <f t="array" aca="1" ref="AV24" ca="1">_xlfn.IFS(   Tab_NewTRADER[[#This Row],[Trap_vs_Last]]=MUp,Tab_NewTRADER[[#This Row],[TakeGain_A]]-Commission,        Tab_NewTRADER[[#This Row],[Trap_vs_Last]]=MDown,(Tab_NewTRADER[[#This Row],[A]]-Tab_NewTRADER[[#This Row],[M]])/Tab_NewTRADER[[#This Row],[M]]-Commission,                              TRUE,"")</f>
        <v/>
      </c>
      <c r="AW24" s="825" cm="1">
        <f t="array" aca="1" ref="AW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27656.074763199984</v>
      </c>
      <c r="AX24" s="760" t="str" cm="1">
        <f t="array" aca="1" ref="AX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Y24" s="736" t="str" cm="1">
        <f t="array" aca="1" ref="AY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24" s="765" cm="1">
        <f t="array" aca="1" ref="AZ24" ca="1">_xlfn.IFS(Tab_NewTRADER[[#This Row],[Trap_vs_Last]]=ReSaleGain,"",         Tab_NewTRADER[[#This Row],[Trap_vs_Last]]=MDown, (Tab_NewTRADER[[#This Row],[M]]-Tab_NewTRADER[[#This Row],[A]])/Tab_NewTRADER[[#This Row],[A]]*ComFactor,             TRUE, IFERROR((Tab_NewTRADER[[#This Row],[M]]-Tab_NewTRADER[[#This Row],[A]])/Tab_NewTRADER[[#This Row],[A]]*ComFactor,""))</f>
        <v>0.14745830242383334</v>
      </c>
      <c r="BA24" s="762" cm="1">
        <f t="array" aca="1" ref="BA24" ca="1">_xlfn.IFS(               Tab_NewTRADER[[#This Row],[Trap_vs_Last]]=NoStock,(Tab_NewTRADER[[#This Row],[L_Sp]]-Tab_NewTRADER[[#This Row],[M]])/Tab_NewTRADER[[#This Row],[M]]-Commission,             Tab_NewTRADER[[#This Row],[A]]&lt;&gt;0,(Tab_NewTRADER[[#This Row],[A]]-Tab_NewTRADER[[#This Row],[M]])/Tab_NewTRADER[[#This Row],[M]]-Commission)</f>
        <v>-0.13140048309178737</v>
      </c>
      <c r="BB24" s="324">
        <f ca="1">_xlfn.XLOOKUP(Tab_NewTRADER[[#This Row],[ClickTick]],TabCalc[Ticker],TabCalc[L_Sn])</f>
        <v>1800</v>
      </c>
      <c r="BC24" s="728">
        <f ca="1">_xlfn.XLOOKUP(Tab_NewTRADER[[#This Row],[ClickTick]],TabCalc[Ticker],TabCalc[L_Sp])</f>
        <v>24.12</v>
      </c>
      <c r="BD24" s="764">
        <f ca="1">-IFERROR((Tab_NewTRADER[[#This Row],[M]]-Tab_NewTRADER[[#This Row],[L_Sp]])/Tab_NewTRADER[[#This Row],[L_Sp]],0)</f>
        <v>2.9850746268656816E-2</v>
      </c>
      <c r="BE24" s="729">
        <f ca="1">MIN(Tab_NewTRADER[[#This Row],[L_Sn]],Tab_NewTRADER[[#This Row],[N]])*(Tab_NewTRADER[[#This Row],[M]]-Tab_NewTRADER[[#This Row],[L_Sp]])*(1-Commission)*Tab_NewTRADER[[#This Row],[Scale]]</f>
        <v>-1292.6304000000043</v>
      </c>
      <c r="BF24" s="692">
        <f ca="1">Tab_NewTRADER[[#This Row],[L_Sn]]*(Tab_NewTRADER[[#This Row],[Agiotage]]-Tab_NewTRADER[[#This Row],[M]])/(Tab_NewTRADER[[#This Row],[L_Bn]]*Tab_NewTRADER[[#This Row],[M]])</f>
        <v>-0.97852706668540623</v>
      </c>
      <c r="BG24" s="635">
        <f ca="1">IFERROR((Tab_NewTRADER[[#This Row],[M]]-Tab_NewTRADER[[#This Row],[A]])/Tab_NewTRADER[[#This Row],[A]],0)</f>
        <v>0.14784269342674289</v>
      </c>
      <c r="BH24" s="638" t="str">
        <f ca="1">TEXT(_xlfn.XLOOKUP(Tab_NewTRADER[[#This Row],[ClickTick]],TabCalc[Ticker],TabCalc[NAfter]),"#,#0")&amp;" : "&amp;TEXT(_xlfn.XLOOKUP(Tab_NewTRADER[[#This Row],[ClickTick]],TabCalc[Ticker],TabCalc[NAfter])*(Tab_NewTRADER[[#This Row],[M]]-Tab_NewTRADER[[#This Row],[A]])*(1-Commission)*Tab_NewTRADER[[#This Row],[Scale]],"#,#0$")</f>
        <v>9,200 : 27,656$</v>
      </c>
      <c r="BI24" s="684">
        <f ca="1">_xlfn.XLOOKUP(Tab_NewTRADER[[#This Row],[ClickTick]],TabCalc[[#This Row],[Ticker]],TabCalc[[#This Row],[GL]])*(1-Commission)</f>
        <v>178524.62599999999</v>
      </c>
      <c r="BJ24" s="684"/>
      <c r="BK24" s="669" t="str">
        <f ca="1">Tab_NewTRADER[[#This Row],[ClickTick]]&amp;": "&amp;_xlfn.XLOOKUP(Tab_NewTRADER[[#This Row],[ClickTick]],TabCalc[Ticker],TabCalc[Pile?])</f>
        <v xml:space="preserve">HPE: </v>
      </c>
      <c r="BL24" s="351" t="s">
        <v>2068</v>
      </c>
      <c r="BM24" s="755" t="str" cm="1">
        <f t="array" aca="1" ref="BM24" ca="1">_xlfn.TEXTJOIN("",,INDEX({"M","A","Y"}, _xlfn.SORTBY({1,2,3}, -CHOOSE({1,2,3}, Tab_NewTRADER[[#This Row],[M]], Tab_NewTRADER[[#This Row],[A]], Tab_NewTRADER[[#This Row],[Agiotage]]))))</f>
        <v>MAY</v>
      </c>
      <c r="BN24" s="909" t="str" cm="1">
        <f t="array" aca="1" ref="BN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4" s="679">
        <f ca="1">Tab_NewTRADER[[#This Row],[L_Sn]]*Tab_NewTRADER[[#This Row],[L_Sp]]+Tab_NewTRADER[[#This Row],[SellMore]]*Tab_NewTRADER[[#This Row],[M]]</f>
        <v>85536</v>
      </c>
      <c r="BP24" s="679">
        <f ca="1">INDEX(
  INDEX(TabConsolid[], , _xlfn.XMATCH(Tab_NewTRADER[[#This Row],[ClickTick]]&amp;1, TabConsolid[#Headers])),
  MATCH(
    -Tab_NewTRADER[[#This Row],[M]],
    INDEX(TabConsolid[], , _xlfn.XMATCH(Tab_NewTRADER[[#This Row],[ClickTick]]&amp;2, TabConsolid[#Headers])),
    -1
  )
)</f>
        <v>1800</v>
      </c>
      <c r="BQ24" s="679" cm="1">
        <f t="array" aca="1" ref="BQ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R24" s="1156">
        <f ca="1">Tab_NewTRADER[[#This Row],[ReBuy]]/(Tab_NewTRADER[[#This Row],[L_Sn]]+Tab_NewTRADER[[#This Row],[SellMore]])</f>
        <v>23.76</v>
      </c>
      <c r="BS24" s="687">
        <f ca="1">((_xlfn.XLOOKUP(Tab_NewTRADER[[#This Row],[ClickTick]],TabCalc[Ticker],TabCalc[NAfter])+Tab_NewTRADER[[#This Row],[L_Sn]])*(Tab_NewTRADER[[#This Row],[Agiotage]]-Tab_NewTRADER[[#This Row],[M]]))/(Tab_NewTRADER[[#This Row],[L_Sn]]*_xlfn.XLOOKUP(Tab_NewTRADER[[#This Row],[ClickTick]],TabCalc[Ticker],TabCalc[NAfter]))</f>
        <v>-1.5209714188697075E-2</v>
      </c>
      <c r="BT24" s="687">
        <f ca="1">(Tab_NewTRADER[[#This Row],[M]]-Tab_NewTRADER[[#This Row],[Agiotage]])/(Tab_NewTRADER[[#This Row],[M]]-Tab_NewTRADER[[#This Row],[A]])-1</f>
        <v>6.5972313394824482</v>
      </c>
      <c r="BU24" s="1277">
        <f ca="1">_xlfn.XMATCH(Tab_NewTRADER[[#This Row],[ClickTick]]&amp;1, TabConsolid[#Headers])</f>
        <v>65</v>
      </c>
      <c r="BV24" t="b">
        <f ca="1">IF(ABS(Tab_NewTRADER[[#This Row],[L_Bp]])&gt;=Tab_NewTRADER[[#This Row],[M]],"OK")</f>
        <v>0</v>
      </c>
    </row>
    <row r="25" spans="1:74"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-1,315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1,835</v>
      </c>
      <c r="F25" s="226" t="str">
        <f ca="1">TRUNC(TabCalc[[#This Row],[L_B1p]],2)&amp;"x"&amp;TabCalc[[#This Row],[L_B1n]]&amp;"=   "&amp;TEXT(TabCalc[[#This Row],[ReverseS1]],"#,#0")&amp;"$"</f>
        <v>-25.74x4000=   1,900$</v>
      </c>
      <c r="G25" s="225" t="str">
        <f ca="1">IFERROR(TRUNC(_xlfn.XLOOKUP(Tab_NewTRADER[[#This Row],[ClickTick]],TabCalc[Ticker],ListLastSalep),2)&amp;"x"&amp;_xlfn.XLOOKUP(Tab_NewTRADER[[#This Row],[ClickTick]],TabCalc[Ticker],ListLastSalen)&amp;"=   "&amp;TEXT(-_xlfn.XLOOKUP(Tab_NewTRADER[[#This Row],[ClickTick]],TabCalc[Ticker],ListReverseB),"#,#0")&amp;"$","")</f>
        <v>28.94x1000=   -2,725$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1,835</v>
      </c>
      <c r="I25" s="226" t="str">
        <f ca="1">IFERROR(TRUNC(TabCalc[[#This Row],[L_S1p]],2)&amp;"x"&amp;TabCalc[[#This Row],[L_S1n]]&amp;"=   "&amp;TEXT(TabCalc[[#This Row],[ReverseB1]],"#,#0"),"")</f>
        <v>27.08x4000=   3,460</v>
      </c>
      <c r="J25" s="295">
        <f ca="1">_xlfn.XLOOKUP(Tab_NewTRADER[[#This Row],[ClickTick]],TabCalc[Ticker],ListGravity)</f>
        <v>1.0788670608430289</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104860</v>
      </c>
      <c r="M25" s="323">
        <f ca="1">_xlfn.XLOOKUP(Tab_NewTRADER[[#This Row],[ClickTick]],TabCalc[Ticker],TabCalc[Agiotage])</f>
        <v>0.50945639164193712</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-4.7766073374500589E-2</v>
      </c>
      <c r="S25" s="683">
        <f ca="1">_xlfn.XLOOKUP(Tab_NewTRADER[[#This Row],[ClickTick]],TabCalc[Ticker],TabCalc[Rev(MinStock)])*(1-Commission)</f>
        <v>-1311.5810000000013</v>
      </c>
      <c r="T25" s="782">
        <f ca="1">_xlfn.XLOOKUP(Tab_NewTRADER[[#This Row],[ClickTick]],TabCalc[Ticker],TabCalc[Agiotage])</f>
        <v>0.50945639164193712</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925/925=&gt;0.2% / 0.2%</v>
      </c>
      <c r="V25" s="739" t="str">
        <f ca="1">_xlfn.XLOOKUP(Tab_NewTRADER[[#This Row],[ClickTick]],[1]!RTData[Ticker_Symbol],[1]!RTData[Currency])</f>
        <v>USD</v>
      </c>
      <c r="W25" s="749">
        <f ca="1">_xlfn.XLOOKUP(Tab_NewTRADER[[#This Row],[ClickTick]],TabCalc[Ticker],TabCalc[M])</f>
        <v>26.215</v>
      </c>
      <c r="X25" s="1343"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^47 / 131 K$</v>
      </c>
      <c r="AE25" s="1173" t="str" cm="1">
        <f t="array" aca="1" ref="AE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5" s="1177" t="str" cm="1">
        <f t="array" aca="1" ref="AF25" ca="1">_xlfn.IFS(       Tab_NewTRADER[[#This Row],[Trap_vs_Last]]=RePurchaseGain,TEXT(Tab_NewTRADER[[#This Row],[L_Sn]],"#,#0")&amp;" x "&amp;TEXT(Tab_NewTRADER[[#This Row],[L_Sp]],"#,#0.#0"),     Tab_NewTRADER[[#This Row],[Trap_vs_Last]]=ReSaleGain,Tab_NewTRADER[[#This Row],[ToSell]],               TRUE,"")</f>
        <v/>
      </c>
      <c r="AG25" s="1177" t="str" cm="1">
        <f t="array" aca="1" ref="AG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H25" s="1370" t="str">
        <f ca="1">TEXT(MIN(Tab_NewTRADER[[#This Row],[L_Bn]],Tab_NewTRADER[[#This Row],[N]]),"#,#0")&amp;" x "&amp;TEXT(Tab_NewTRADER[[#This Row],[L_Bp]],"#,#0.#0")</f>
        <v>1,000 x -27.53</v>
      </c>
      <c r="AI25" s="1370">
        <f ca="1">IF(Tab_NewTRADER[[#This Row],[M]]&lt;_xlfn.XLOOKUP(Tab_NewTRADER[[#This Row],[ClickTick]],TabCalc[Ticker],TabCalc[Max_Buy_P]), 0,Tab_NewTRADER[[#This Row],[Sale_Back_$]])</f>
        <v>0</v>
      </c>
      <c r="AJ25" s="1370" t="str">
        <f ca="1">TEXT(Tab_NewTRADER[[#This Row],[L_Sn]],"#,#0")&amp;" ("&amp;Tab_NewTRADER[[#This Row],[M]]&amp;"/"&amp;TEXT(Tab_NewTRADER[[#This Row],[L_Sp]],"#,#0.#0)")</f>
        <v>1,000 (26.215/28.94)</v>
      </c>
      <c r="AK25" s="1370">
        <f ca="1">IF(Tab_NewTRADER[[#This Row],[M]]&lt;_xlfn.XLOOKUP(Tab_NewTRADER[[#This Row],[ClickTick]],TabCalc[Ticker],TabCalc[Max_Buy_P]), -Tab_NewTRADER[[#This Row],[Buy_Back]], 0)</f>
        <v>2717.9150000000013</v>
      </c>
      <c r="AL25" s="1177" cm="1">
        <f t="array" aca="1" ref="AL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1311.5810000000013</v>
      </c>
      <c r="AM25" s="760">
        <f ca="1">Tab_NewTRADER[[#This Row],[N]]*(Tab_NewTRADER[[#This Row],[M]]-Tab_NewTRADER[[#This Row],[A]])*(1-Commission)*Tab_NewTRADER[[#This Row],[Scale]]</f>
        <v>583.47900000000436</v>
      </c>
      <c r="AN25" s="760">
        <f ca="1">Tab_NewTRADER[[#This Row],[M]]*Tab_NewTRADER[[#This Row],[N]]*(1-Commission)*Tab_NewTRADER[[#This Row],[Scale]]</f>
        <v>130734.20499999999</v>
      </c>
      <c r="AO25" s="1186" cm="1">
        <f t="array" aca="1" ref="AO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-4.483102153421752E-3</v>
      </c>
      <c r="AP25" s="1186" cm="1">
        <f t="array" aca="1" ref="AP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4.7562120923135658E-2</v>
      </c>
      <c r="AQ25" s="825" t="str" cm="1">
        <f t="array" aca="1" ref="AQ25" ca="1">_xlfn.IFS(   Tab_NewTRADER[[#This Row],[Trap_vs_Last]]=SellMorePercentGain,                     MIN(Tab_NewTRADER[[#This Row],[L_Sn]],Tab_NewTRADER[[#This Row],[N]])*(Tab_NewTRADER[[#This Row],[M]]-Tab_NewTRADER[[#This Row],[L_Sp]])*(1-Commission)*Tab_NewTRADER[[#This Row],[Scale]],                    TRUE,"")</f>
        <v/>
      </c>
      <c r="AR25" s="1341">
        <f ca="1">_xlfn.XLOOKUP(Tab_NewTRADER[[#This Row],[ClickTick]],TabCalc[Ticker],TabCalc[Ann%RevLB])</f>
        <v>-0.78162665521910057</v>
      </c>
      <c r="AS25" s="1282">
        <f ca="1">_xlfn.XLOOKUP(Tab_NewTRADER[[#This Row],[ClickTick]],TabCalc[Ticker],TabCalc[Up20])</f>
        <v>0</v>
      </c>
      <c r="AT25" s="1187" cm="1">
        <f t="array" aca="1" ref="AT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5.0162120923135656E-2</v>
      </c>
      <c r="AU25" s="825" cm="1">
        <f t="array" aca="1" ref="AU25" ca="1">_xlfn.IFS(         Tab_NewTRADER[[#This Row],[Trap_vs_Last]]=MDown,Tab_NewTRADER[[#This Row],[L_Bn]]*Tab_NewTRADER[[#This Row],[M]]*(-(Tab_NewTRADER[[#This Row],[L_Bp]]+Tab_NewTRADER[[#This Row],[M]])/Tab_NewTRADER[[#This Row],[M]])*(1-Commission)*Tab_NewTRADER[[#This Row],[Scale]],                               TRUE,"")</f>
        <v>1311.581000000001</v>
      </c>
      <c r="AV25" s="1186" cm="1">
        <f t="array" aca="1" ref="AV25" ca="1">_xlfn.IFS(   Tab_NewTRADER[[#This Row],[Trap_vs_Last]]=MUp,Tab_NewTRADER[[#This Row],[TakeGain_A]]-Commission,        Tab_NewTRADER[[#This Row],[Trap_vs_Last]]=MDown,(Tab_NewTRADER[[#This Row],[A]]-Tab_NewTRADER[[#This Row],[M]])/Tab_NewTRADER[[#This Row],[M]]-Commission,                              TRUE,"")</f>
        <v>-7.0630936486744565E-3</v>
      </c>
      <c r="AW25" s="825" cm="1">
        <f t="array" aca="1" ref="AW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-583.47900000000436</v>
      </c>
      <c r="AX25" s="760" t="str" cm="1">
        <f t="array" aca="1" ref="AX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-2.1%</v>
      </c>
      <c r="AY25" s="736" cm="1">
        <f t="array" aca="1" ref="AY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-1.31</v>
      </c>
      <c r="AZ25" s="765" cm="1">
        <f t="array" aca="1" ref="AZ25" ca="1">_xlfn.IFS(Tab_NewTRADER[[#This Row],[Trap_vs_Last]]=ReSaleGain,"",         Tab_NewTRADER[[#This Row],[Trap_vs_Last]]=MDown, (Tab_NewTRADER[[#This Row],[M]]-Tab_NewTRADER[[#This Row],[A]])/Tab_NewTRADER[[#This Row],[A]]*ComFactor,             TRUE, IFERROR((Tab_NewTRADER[[#This Row],[M]]-Tab_NewTRADER[[#This Row],[A]])/Tab_NewTRADER[[#This Row],[A]]*ComFactor,""))</f>
        <v>4.4714460878228553E-3</v>
      </c>
      <c r="BA25" s="762" cm="1">
        <f t="array" aca="1" ref="BA25" ca="1">_xlfn.IFS(               Tab_NewTRADER[[#This Row],[Trap_vs_Last]]=NoStock,(Tab_NewTRADER[[#This Row],[L_Sp]]-Tab_NewTRADER[[#This Row],[M]])/Tab_NewTRADER[[#This Row],[M]]-Commission,             Tab_NewTRADER[[#This Row],[A]]&lt;&gt;0,(Tab_NewTRADER[[#This Row],[A]]-Tab_NewTRADER[[#This Row],[M]])/Tab_NewTRADER[[#This Row],[M]]-Commission)</f>
        <v>-7.0630936486744565E-3</v>
      </c>
      <c r="BB25" s="324">
        <f ca="1">_xlfn.XLOOKUP(Tab_NewTRADER[[#This Row],[ClickTick]],TabCalc[Ticker],TabCalc[L_Sn])</f>
        <v>1000</v>
      </c>
      <c r="BC25" s="728">
        <f ca="1">_xlfn.XLOOKUP(Tab_NewTRADER[[#This Row],[ClickTick]],TabCalc[Ticker],TabCalc[L_Sp])</f>
        <v>28.94</v>
      </c>
      <c r="BD25" s="764">
        <f ca="1">-IFERROR((Tab_NewTRADER[[#This Row],[M]]-Tab_NewTRADER[[#This Row],[L_Sp]])/Tab_NewTRADER[[#This Row],[L_Sp]],0)</f>
        <v>9.416033172080171E-2</v>
      </c>
      <c r="BE25" s="729">
        <f ca="1">MIN(Tab_NewTRADER[[#This Row],[L_Sn]],Tab_NewTRADER[[#This Row],[N]])*(Tab_NewTRADER[[#This Row],[M]]-Tab_NewTRADER[[#This Row],[L_Sp]])*(1-Commission)*Tab_NewTRADER[[#This Row],[Scale]]</f>
        <v>-2717.9150000000013</v>
      </c>
      <c r="BF25" s="692">
        <f ca="1">Tab_NewTRADER[[#This Row],[L_Sn]]*(Tab_NewTRADER[[#This Row],[Agiotage]]-Tab_NewTRADER[[#This Row],[M]])/(Tab_NewTRADER[[#This Row],[L_Bn]]*Tab_NewTRADER[[#This Row],[M]])</f>
        <v>-0.98056622576227592</v>
      </c>
      <c r="BG25" s="635">
        <f ca="1">IFERROR((Tab_NewTRADER[[#This Row],[M]]-Tab_NewTRADER[[#This Row],[A]])/Tab_NewTRADER[[#This Row],[A]],0)</f>
        <v>4.483102153421752E-3</v>
      </c>
      <c r="BH25" s="638" t="str">
        <f ca="1">TEXT(_xlfn.XLOOKUP(Tab_NewTRADER[[#This Row],[ClickTick]],TabCalc[Ticker],TabCalc[NAfter]),"#,#0")&amp;" : "&amp;TEXT(_xlfn.XLOOKUP(Tab_NewTRADER[[#This Row],[ClickTick]],TabCalc[Ticker],TabCalc[NAfter])*(Tab_NewTRADER[[#This Row],[M]]-Tab_NewTRADER[[#This Row],[A]])*(1-Commission)*Tab_NewTRADER[[#This Row],[Scale]],"#,#0$")</f>
        <v>5,000 : 583$</v>
      </c>
      <c r="BI25" s="684">
        <f ca="1">_xlfn.XLOOKUP(Tab_NewTRADER[[#This Row],[ClickTick]],TabCalc[[#This Row],[Ticker]],TabCalc[[#This Row],[GL]])*(1-Commission)</f>
        <v>46996.69805920004</v>
      </c>
      <c r="BJ25" s="684"/>
      <c r="BK25" s="669" t="str">
        <f ca="1">Tab_NewTRADER[[#This Row],[ClickTick]]&amp;": "&amp;_xlfn.XLOOKUP(Tab_NewTRADER[[#This Row],[ClickTick]],TabCalc[Ticker],TabCalc[Pile?])</f>
        <v xml:space="preserve">HPQ: </v>
      </c>
      <c r="BL25" s="351" t="s">
        <v>2067</v>
      </c>
      <c r="BM25" s="755" t="str" cm="1">
        <f t="array" aca="1" ref="BM25" ca="1">_xlfn.TEXTJOIN("",,INDEX({"M","A","Y"}, _xlfn.SORTBY({1,2,3}, -CHOOSE({1,2,3}, Tab_NewTRADER[[#This Row],[M]], Tab_NewTRADER[[#This Row],[A]], Tab_NewTRADER[[#This Row],[Agiotage]]))))</f>
        <v>MAY</v>
      </c>
      <c r="BN25" s="909" cm="1">
        <f t="array" aca="1" ref="BN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5.0162120923135656E-2</v>
      </c>
      <c r="BO25" s="679">
        <f ca="1">Tab_NewTRADER[[#This Row],[L_Sn]]*Tab_NewTRADER[[#This Row],[L_Sp]]+Tab_NewTRADER[[#This Row],[SellMore]]*Tab_NewTRADER[[#This Row],[M]]</f>
        <v>133800</v>
      </c>
      <c r="BP25" s="679">
        <f ca="1">INDEX(
  INDEX(TabConsolid[], , _xlfn.XMATCH(Tab_NewTRADER[[#This Row],[ClickTick]]&amp;1, TabConsolid[#Headers])),
  MATCH(
    -Tab_NewTRADER[[#This Row],[M]],
    INDEX(TabConsolid[], , _xlfn.XMATCH(Tab_NewTRADER[[#This Row],[ClickTick]]&amp;2, TabConsolid[#Headers])),
    -1
  )
)</f>
        <v>4000</v>
      </c>
      <c r="BQ25" s="679" cm="1">
        <f t="array" aca="1" ref="BQ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5" s="1156">
        <f ca="1">Tab_NewTRADER[[#This Row],[ReBuy]]/(Tab_NewTRADER[[#This Row],[L_Sn]]+Tab_NewTRADER[[#This Row],[SellMore]])</f>
        <v>26.76</v>
      </c>
      <c r="BS25" s="687">
        <f ca="1">((_xlfn.XLOOKUP(Tab_NewTRADER[[#This Row],[ClickTick]],TabCalc[Ticker],TabCalc[NAfter])+Tab_NewTRADER[[#This Row],[L_Sn]])*(Tab_NewTRADER[[#This Row],[Agiotage]]-Tab_NewTRADER[[#This Row],[M]]))/(Tab_NewTRADER[[#This Row],[L_Sn]]*_xlfn.XLOOKUP(Tab_NewTRADER[[#This Row],[ClickTick]],TabCalc[Ticker],TabCalc[NAfter]))</f>
        <v>-3.0846652330029676E-2</v>
      </c>
      <c r="BT25" s="687">
        <f ca="1">(Tab_NewTRADER[[#This Row],[M]]-Tab_NewTRADER[[#This Row],[Agiotage]])/(Tab_NewTRADER[[#This Row],[M]]-Tab_NewTRADER[[#This Row],[A]])-1</f>
        <v>218.70550092613564</v>
      </c>
      <c r="BU25" s="1277">
        <f ca="1">_xlfn.XMATCH(Tab_NewTRADER[[#This Row],[ClickTick]]&amp;1, TabConsolid[#Headers])</f>
        <v>68</v>
      </c>
      <c r="BV25" t="str">
        <f ca="1">IF(ABS(Tab_NewTRADER[[#This Row],[L_Bp]])&gt;=Tab_NewTRADER[[#This Row],[M]],"OK")</f>
        <v>OK</v>
      </c>
    </row>
    <row r="26" spans="1:74"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+23,438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32.0%</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4,267/110,000=15,624</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36,206</v>
      </c>
      <c r="F26" s="226" t="str">
        <f ca="1">TRUNC(TabCalc[[#This Row],[L_B1p]],2)&amp;"x"&amp;TabCalc[[#This Row],[L_B1n]]&amp;"=   "&amp;TEXT(TabCalc[[#This Row],[ReverseS1]],"#,#0")&amp;"$"</f>
        <v>-284.47x20000=   16,344$</v>
      </c>
      <c r="G26" s="225" t="str">
        <f ca="1">IFERROR(TRUNC(_xlfn.XLOOKUP(Tab_NewTRADER[[#This Row],[ClickTick]],TabCalc[Ticker],ListLastSalep),2)&amp;"x"&amp;_xlfn.XLOOKUP(Tab_NewTRADER[[#This Row],[ClickTick]],TabCalc[Ticker],ListLastSalen)&amp;"=   "&amp;TEXT(-_xlfn.XLOOKUP(Tab_NewTRADER[[#This Row],[ClickTick]],TabCalc[Ticker],ListReverseB),"#,#0")&amp;"$","")</f>
        <v>380.01x20000=   -2,762$</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362</v>
      </c>
      <c r="I26" s="226" t="str">
        <f ca="1">IFERROR(TRUNC(TabCalc[[#This Row],[L_S1p]],2)&amp;"x"&amp;TabCalc[[#This Row],[L_S1n]]&amp;"=   "&amp;TEXT(TabCalc[[#This Row],[ReverseB1]],"#,#0"),"")</f>
        <v>425.1x20000=   11,780</v>
      </c>
      <c r="J26" s="295">
        <f ca="1">_xlfn.XLOOKUP(Tab_NewTRADER[[#This Row],[ClickTick]],TabCalc[Ticker],ListGravity)</f>
        <v>1.2673244128891317</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3.8509130711539581</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0.47061185806306516</v>
      </c>
      <c r="S26" s="683">
        <f ca="1">_xlfn.XLOOKUP(Tab_NewTRADER[[#This Row],[ClickTick]],TabCalc[Ticker],TabCalc[Rev(MinStock)])*(1-Commission)</f>
        <v>23376.662239999994</v>
      </c>
      <c r="T26" s="782">
        <f ca="1">_xlfn.XLOOKUP(Tab_NewTRADER[[#This Row],[ClickTick]],TabCalc[Ticker],TabCalc[Agiotage])</f>
        <v>3.8509130711539581</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-23,980/-23,980=&gt;-11.6% / -11.6%</v>
      </c>
      <c r="V26" s="739" t="str">
        <f ca="1">_xlfn.XLOOKUP(Tab_NewTRADER[[#This Row],[ClickTick]],[1]!RTData[Ticker_Symbol],[1]!RTData[Currency])</f>
        <v>GBp</v>
      </c>
      <c r="W26" s="749">
        <f ca="1">_xlfn.XLOOKUP(Tab_NewTRADER[[#This Row],[ClickTick]],TabCalc[Ticker],TabCalc[M])</f>
        <v>366.2</v>
      </c>
      <c r="X26" s="1343"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250.59844615384614</v>
      </c>
      <c r="AB26" s="817" cm="1">
        <f t="array" aca="1" ref="AB26" ca="1">_xlfn.XLOOKUP(Tab_NewTRADER[[#This Row],[ClickTick]],ListTickers,Tab1ChangePercent[Change%19])</f>
        <v>-0.115673</v>
      </c>
      <c r="AC26" s="768">
        <f ca="1">_xlfn.XLOOKUP(Tab_NewTRADER[[#This Row],[ClickTick]],TabCalc[Ticker],TabCalc[NAfter])</f>
        <v>110000</v>
      </c>
      <c r="AD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^1,132 / 403 K$</v>
      </c>
      <c r="AE26" s="1195" t="str" cm="1">
        <f t="array" aca="1" ref="AE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26" s="1177" t="str" cm="1">
        <f t="array" aca="1" ref="AF26" ca="1">_xlfn.IFS(       Tab_NewTRADER[[#This Row],[Trap_vs_Last]]=RePurchaseGain,TEXT(Tab_NewTRADER[[#This Row],[L_Sn]],"#,#0")&amp;" x "&amp;TEXT(Tab_NewTRADER[[#This Row],[L_Sp]],"#,#0.#0"),     Tab_NewTRADER[[#This Row],[Trap_vs_Last]]=ReSaleGain,Tab_NewTRADER[[#This Row],[ToSell]],               TRUE,"")</f>
        <v>20,000 x 380.01</v>
      </c>
      <c r="AG26" s="1177" cm="1">
        <f t="array" aca="1" ref="AG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2754.8188000000005</v>
      </c>
      <c r="AH26" s="1370" t="str">
        <f ca="1">TEXT(MIN(Tab_NewTRADER[[#This Row],[L_Bn]],Tab_NewTRADER[[#This Row],[N]]),"#,#0")&amp;" x "&amp;TEXT(Tab_NewTRADER[[#This Row],[L_Bp]],"#,#0.#0")</f>
        <v>20,000 x -249.01</v>
      </c>
      <c r="AI26" s="1370">
        <f ca="1">IF(Tab_NewTRADER[[#This Row],[M]]&lt;_xlfn.XLOOKUP(Tab_NewTRADER[[#This Row],[ClickTick]],TabCalc[Ticker],TabCalc[Max_Buy_P]), 0,Tab_NewTRADER[[#This Row],[Sale_Back_$]])</f>
        <v>23376.662239999994</v>
      </c>
      <c r="AJ26" s="1370" t="str">
        <f ca="1">TEXT(Tab_NewTRADER[[#This Row],[L_Sn]],"#,#0")&amp;" ("&amp;Tab_NewTRADER[[#This Row],[M]]&amp;"/"&amp;TEXT(Tab_NewTRADER[[#This Row],[L_Sp]],"#,#0.#0)")</f>
        <v>20,000 (366.2/380.01)</v>
      </c>
      <c r="AK26" s="1370">
        <f ca="1">IF(Tab_NewTRADER[[#This Row],[M]]&lt;_xlfn.XLOOKUP(Tab_NewTRADER[[#This Row],[ClickTick]],TabCalc[Ticker],TabCalc[Max_Buy_P]), -Tab_NewTRADER[[#This Row],[Buy_Back]], 0)</f>
        <v>0</v>
      </c>
      <c r="AL26" s="1177" t="str" cm="1">
        <f t="array" aca="1" ref="AL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6" s="760">
        <f ca="1">Tab_NewTRADER[[#This Row],[N]]*(Tab_NewTRADER[[#This Row],[M]]-Tab_NewTRADER[[#This Row],[A]])*(1-Commission)*Tab_NewTRADER[[#This Row],[Scale]]</f>
        <v>126831.08878676924</v>
      </c>
      <c r="AN26" s="760">
        <f ca="1">Tab_NewTRADER[[#This Row],[M]]*Tab_NewTRADER[[#This Row],[N]]*(1-Commission)*Tab_NewTRADER[[#This Row],[Scale]]</f>
        <v>401772.66800000001</v>
      </c>
      <c r="AO26" s="1186" cm="1">
        <f t="array" aca="1" ref="AO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3.6341148917133768E-2</v>
      </c>
      <c r="AP26" s="1186" t="str" cm="1">
        <f t="array" aca="1" ref="AP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Tab_NewTRADER[[#This Row],[Trap_vs_Last]]=SellMorePercentGain,                     MIN(Tab_NewTRADER[[#This Row],[L_Sn]],Tab_NewTRADER[[#This Row],[N]])*(Tab_NewTRADER[[#This Row],[M]]-Tab_NewTRADER[[#This Row],[L_Sp]])*(1-Commission)*Tab_NewTRADER[[#This Row],[Scale]],                    TRUE,"")</f>
        <v/>
      </c>
      <c r="AR26" s="1175">
        <f ca="1">_xlfn.XLOOKUP(Tab_NewTRADER[[#This Row],[ClickTick]],TabCalc[Ticker],TabCalc[Ann%RevLB])</f>
        <v>0.7700921313759248</v>
      </c>
      <c r="AS26" s="1282">
        <f ca="1">_xlfn.XLOOKUP(Tab_NewTRADER[[#This Row],[ClickTick]],TabCalc[Ticker],TabCalc[Up20])</f>
        <v>0</v>
      </c>
      <c r="AT26" s="1187" t="str" cm="1">
        <f t="array" aca="1" ref="AT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6" s="825" t="str" cm="1">
        <f t="array" aca="1" ref="AU26" ca="1">_xlfn.IFS(         Tab_NewTRADER[[#This Row],[Trap_vs_Last]]=MDown,Tab_NewTRADER[[#This Row],[L_Bn]]*Tab_NewTRADER[[#This Row],[M]]*(-(Tab_NewTRADER[[#This Row],[L_Bp]]+Tab_NewTRADER[[#This Row],[M]])/Tab_NewTRADER[[#This Row],[M]])*(1-Commission)*Tab_NewTRADER[[#This Row],[Scale]],                               TRUE,"")</f>
        <v/>
      </c>
      <c r="AV26" s="1186" t="str" cm="1">
        <f t="array" aca="1" ref="AV26" ca="1">_xlfn.IFS(   Tab_NewTRADER[[#This Row],[Trap_vs_Last]]=MUp,Tab_NewTRADER[[#This Row],[TakeGain_A]]-Commission,        Tab_NewTRADER[[#This Row],[Trap_vs_Last]]=MDown,(Tab_NewTRADER[[#This Row],[A]]-Tab_NewTRADER[[#This Row],[M]])/Tab_NewTRADER[[#This Row],[M]]-Commission,                              TRUE,"")</f>
        <v/>
      </c>
      <c r="AW26" s="760" cm="1">
        <f t="array" aca="1" ref="AW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126831.08878676924</v>
      </c>
      <c r="AX26" s="760" t="str" cm="1">
        <f t="array" aca="1" ref="AX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Y26" s="736" t="str" cm="1">
        <f t="array" aca="1" ref="AY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26" s="765" cm="1">
        <f t="array" aca="1" ref="AZ26" ca="1">_xlfn.IFS(Tab_NewTRADER[[#This Row],[Trap_vs_Last]]=ReSaleGain,"",         Tab_NewTRADER[[#This Row],[Trap_vs_Last]]=MDown, (Tab_NewTRADER[[#This Row],[M]]-Tab_NewTRADER[[#This Row],[A]])/Tab_NewTRADER[[#This Row],[A]]*ComFactor,             TRUE, IFERROR((Tab_NewTRADER[[#This Row],[M]]-Tab_NewTRADER[[#This Row],[A]])/Tab_NewTRADER[[#This Row],[A]]*ComFactor,""))</f>
        <v>0.460102572764433</v>
      </c>
      <c r="BA26" s="762" cm="1">
        <f t="array" aca="1" ref="BA26" ca="1">_xlfn.IFS(               Tab_NewTRADER[[#This Row],[Trap_vs_Last]]=NoStock,(Tab_NewTRADER[[#This Row],[L_Sp]]-Tab_NewTRADER[[#This Row],[M]])/Tab_NewTRADER[[#This Row],[M]]-Commission,             Tab_NewTRADER[[#This Row],[A]]&lt;&gt;0,(Tab_NewTRADER[[#This Row],[A]]-Tab_NewTRADER[[#This Row],[M]])/Tab_NewTRADER[[#This Row],[M]]-Commission)</f>
        <v>-0.31827873797420492</v>
      </c>
      <c r="BB26" s="324">
        <f ca="1">_xlfn.XLOOKUP(Tab_NewTRADER[[#This Row],[ClickTick]],TabCalc[Ticker],TabCalc[L_Sn])</f>
        <v>20000</v>
      </c>
      <c r="BC26" s="728">
        <f ca="1">_xlfn.XLOOKUP(Tab_NewTRADER[[#This Row],[ClickTick]],TabCalc[Ticker],TabCalc[L_Sp])</f>
        <v>380.01</v>
      </c>
      <c r="BD26" s="764">
        <f ca="1">-IFERROR((Tab_NewTRADER[[#This Row],[M]]-Tab_NewTRADER[[#This Row],[L_Sp]])/Tab_NewTRADER[[#This Row],[L_Sp]],0)</f>
        <v>3.6341148917133768E-2</v>
      </c>
      <c r="BE26" s="729">
        <f ca="1">MIN(Tab_NewTRADER[[#This Row],[L_Sn]],Tab_NewTRADER[[#This Row],[N]])*(Tab_NewTRADER[[#This Row],[M]]-Tab_NewTRADER[[#This Row],[L_Sp]])*(1-Commission)*Tab_NewTRADER[[#This Row],[Scale]]</f>
        <v>-2754.8188000000005</v>
      </c>
      <c r="BF26" s="692">
        <f ca="1">Tab_NewTRADER[[#This Row],[L_Sn]]*(Tab_NewTRADER[[#This Row],[Agiotage]]-Tab_NewTRADER[[#This Row],[M]])/(Tab_NewTRADER[[#This Row],[L_Bn]]*Tab_NewTRADER[[#This Row],[M]])</f>
        <v>-0.98948412596626445</v>
      </c>
      <c r="BG26" s="635">
        <f ca="1">IFERROR((Tab_NewTRADER[[#This Row],[M]]-Tab_NewTRADER[[#This Row],[A]])/Tab_NewTRADER[[#This Row],[A]],0)</f>
        <v>0.46130195785485567</v>
      </c>
      <c r="BH26" s="638" t="str">
        <f ca="1">TEXT(_xlfn.XLOOKUP(Tab_NewTRADER[[#This Row],[ClickTick]],TabCalc[Ticker],TabCalc[NAfter]),"#,#0")&amp;" : "&amp;TEXT(_xlfn.XLOOKUP(Tab_NewTRADER[[#This Row],[ClickTick]],TabCalc[Ticker],TabCalc[NAfter])*(Tab_NewTRADER[[#This Row],[M]]-Tab_NewTRADER[[#This Row],[A]])*(1-Commission)*Tab_NewTRADER[[#This Row],[Scale]],"#,#0$")</f>
        <v>110,000 : 126,831$</v>
      </c>
      <c r="BI26" s="684">
        <f ca="1">_xlfn.XLOOKUP(Tab_NewTRADER[[#This Row],[ClickTick]],TabCalc[[#This Row],[Ticker]],TabCalc[[#This Row],[GL]])*(1-Commission)</f>
        <v>1129356.6853655402</v>
      </c>
      <c r="BJ26" s="684"/>
      <c r="BK26" s="669" t="str">
        <f ca="1">Tab_NewTRADER[[#This Row],[ClickTick]]&amp;": "&amp;_xlfn.XLOOKUP(Tab_NewTRADER[[#This Row],[ClickTick]],TabCalc[Ticker],TabCalc[Pile?])</f>
        <v xml:space="preserve">IAG: </v>
      </c>
      <c r="BL26" s="351" t="s">
        <v>2065</v>
      </c>
      <c r="BM26" s="755" t="str" cm="1">
        <f t="array" aca="1" ref="BM26" ca="1">_xlfn.TEXTJOIN("",,INDEX({"M","A","Y"}, _xlfn.SORTBY({1,2,3}, -CHOOSE({1,2,3}, Tab_NewTRADER[[#This Row],[M]], Tab_NewTRADER[[#This Row],[A]], Tab_NewTRADER[[#This Row],[Agiotage]]))))</f>
        <v>MAY</v>
      </c>
      <c r="BN26" s="909" t="str" cm="1">
        <f t="array" aca="1" ref="BN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6" s="679">
        <f ca="1">Tab_NewTRADER[[#This Row],[L_Sn]]*Tab_NewTRADER[[#This Row],[L_Sp]]+Tab_NewTRADER[[#This Row],[SellMore]]*Tab_NewTRADER[[#This Row],[M]]</f>
        <v>11262200</v>
      </c>
      <c r="BP26" s="679">
        <f ca="1">INDEX(
  INDEX(TabConsolid[], , _xlfn.XMATCH(Tab_NewTRADER[[#This Row],[ClickTick]]&amp;1, TabConsolid[#Headers])),
  MATCH(
    -Tab_NewTRADER[[#This Row],[M]],
    INDEX(TabConsolid[], , _xlfn.XMATCH(Tab_NewTRADER[[#This Row],[ClickTick]]&amp;2, TabConsolid[#Headers])),
    -1
  )
)</f>
        <v>10000</v>
      </c>
      <c r="BQ26" s="679" cm="1">
        <f t="array" aca="1" ref="BQ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26" s="1156">
        <f ca="1">Tab_NewTRADER[[#This Row],[ReBuy]]/(Tab_NewTRADER[[#This Row],[L_Sn]]+Tab_NewTRADER[[#This Row],[SellMore]])</f>
        <v>375.40666666666669</v>
      </c>
      <c r="BS26" s="687">
        <f ca="1">((_xlfn.XLOOKUP(Tab_NewTRADER[[#This Row],[ClickTick]],TabCalc[Ticker],TabCalc[NAfter])+Tab_NewTRADER[[#This Row],[L_Sn]])*(Tab_NewTRADER[[#This Row],[Agiotage]]-Tab_NewTRADER[[#This Row],[M]]))/(Tab_NewTRADER[[#This Row],[L_Sn]]*_xlfn.XLOOKUP(Tab_NewTRADER[[#This Row],[ClickTick]],TabCalc[Ticker],TabCalc[NAfter]))</f>
        <v>-2.1411536954886356E-2</v>
      </c>
      <c r="BT26" s="687">
        <f ca="1">(Tab_NewTRADER[[#This Row],[M]]-Tab_NewTRADER[[#This Row],[Agiotage]])/(Tab_NewTRADER[[#This Row],[M]]-Tab_NewTRADER[[#This Row],[A]])-1</f>
        <v>2.1344655402389443</v>
      </c>
      <c r="BU26" s="1277">
        <f ca="1">_xlfn.XMATCH(Tab_NewTRADER[[#This Row],[ClickTick]]&amp;1, TabConsolid[#Headers])</f>
        <v>71</v>
      </c>
      <c r="BV26" t="b">
        <f ca="1">IF(ABS(Tab_NewTRADER[[#This Row],[L_Bp]])&gt;=Tab_NewTRADER[[#This Row],[M]],"OK")</f>
        <v>0</v>
      </c>
    </row>
    <row r="27" spans="1:74" ht="22"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+2,430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-2,090$</v>
      </c>
      <c r="G27" s="225" t="str">
        <f ca="1">IFERROR(TRUNC(_xlfn.XLOOKUP(Tab_NewTRADER[[#This Row],[ClickTick]],TabCalc[Ticker],ListLastSalep),2)&amp;"x"&amp;_xlfn.XLOOKUP(Tab_NewTRADER[[#This Row],[ClickTick]],TabCalc[Ticker],ListLastSalen)&amp;"=   "&amp;TEXT(-_xlfn.XLOOKUP(Tab_NewTRADER[[#This Row],[ClickTick]],TabCalc[Ticker],ListReverseB),"#,#0")&amp;"$","")</f>
        <v>64.9x1000=   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0.0% = 0</v>
      </c>
      <c r="I27" s="226" t="str">
        <f ca="1">IFERROR(TRUNC(TabCalc[[#This Row],[L_S1p]],2)&amp;"x"&amp;TabCalc[[#This Row],[L_S1n]]&amp;"=   "&amp;TEXT(TabCalc[[#This Row],[ReverseB1]],"#,#0"),"")</f>
        <v>71.82x1000=   6,915</v>
      </c>
      <c r="J27" s="295">
        <f ca="1">_xlfn.XLOOKUP(Tab_NewTRADER[[#This Row],[ClickTick]],TabCalc[Ticker],ListGravity)</f>
        <v>1.1716424004313997</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64905</v>
      </c>
      <c r="M27" s="323">
        <f ca="1">_xlfn.XLOOKUP(Tab_NewTRADER[[#This Row],[ClickTick]],TabCalc[Ticker],TabCalc[Agiotage])</f>
        <v>0.85989897177837271</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1.9076778144135713E-2</v>
      </c>
      <c r="S27" s="683">
        <f ca="1">_xlfn.XLOOKUP(Tab_NewTRADER[[#This Row],[ClickTick]],TabCalc[Ticker],TabCalc[Rev(MinStock)])*(1-Commission)</f>
        <v>2423.6820000000066</v>
      </c>
      <c r="T27" s="782">
        <f ca="1">_xlfn.XLOOKUP(Tab_NewTRADER[[#This Row],[ClickTick]],TabCalc[Ticker],TabCalc[Agiotage])</f>
        <v>0.85989897177837271</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6,600/6,600=&gt;2.3% / 2.3%</v>
      </c>
      <c r="V27" s="739" t="str">
        <f ca="1">_xlfn.XLOOKUP(Tab_NewTRADER[[#This Row],[ClickTick]],[1]!RTData[Ticker_Symbol],[1]!RTData[Currency])</f>
        <v>USD</v>
      </c>
      <c r="W27" s="749">
        <f ca="1">_xlfn.XLOOKUP(Tab_NewTRADER[[#This Row],[ClickTick]],TabCalc[Ticker],TabCalc[M])</f>
        <v>64.905000000000001</v>
      </c>
      <c r="X27" s="1343"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^101 / 389 K$</v>
      </c>
      <c r="AE27" s="1195" t="str" cm="1">
        <f t="array" aca="1" ref="AE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7" s="1177" t="str" cm="1">
        <f t="array" aca="1" ref="AF27" ca="1">_xlfn.IFS(       Tab_NewTRADER[[#This Row],[Trap_vs_Last]]=RePurchaseGain,TEXT(Tab_NewTRADER[[#This Row],[L_Sn]],"#,#0")&amp;" x "&amp;TEXT(Tab_NewTRADER[[#This Row],[L_Sp]],"#,#0.#0"),     Tab_NewTRADER[[#This Row],[Trap_vs_Last]]=ReSaleGain,Tab_NewTRADER[[#This Row],[ToSell]],               TRUE,"")</f>
        <v/>
      </c>
      <c r="AG27" s="1177" t="str" cm="1">
        <f t="array" aca="1" ref="AG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H27" s="1370" t="str">
        <f ca="1">TEXT(MIN(Tab_NewTRADER[[#This Row],[L_Bn]],Tab_NewTRADER[[#This Row],[N]]),"#,#0")&amp;" x "&amp;TEXT(Tab_NewTRADER[[#This Row],[L_Bp]],"#,#0.#0")</f>
        <v>2,000 x -63.69</v>
      </c>
      <c r="AI27" s="1370">
        <f ca="1">IF(Tab_NewTRADER[[#This Row],[M]]&lt;_xlfn.XLOOKUP(Tab_NewTRADER[[#This Row],[ClickTick]],TabCalc[Ticker],TabCalc[Max_Buy_P]), 0,Tab_NewTRADER[[#This Row],[Sale_Back_$]])</f>
        <v>0</v>
      </c>
      <c r="AJ27" s="1370" t="str">
        <f ca="1">TEXT(Tab_NewTRADER[[#This Row],[L_Sn]],"#,#0")&amp;" ("&amp;Tab_NewTRADER[[#This Row],[M]]&amp;"/"&amp;TEXT(Tab_NewTRADER[[#This Row],[L_Sp]],"#,#0.#0)")</f>
        <v>1,000 (64.905/64.90)</v>
      </c>
      <c r="AK27" s="1370">
        <f ca="1">IF(Tab_NewTRADER[[#This Row],[M]]&lt;_xlfn.XLOOKUP(Tab_NewTRADER[[#This Row],[ClickTick]],TabCalc[Ticker],TabCalc[Max_Buy_P]), -Tab_NewTRADER[[#This Row],[Buy_Back]], 0)</f>
        <v>-4.9869999999954642</v>
      </c>
      <c r="AL27" s="1177" cm="1">
        <f t="array" aca="1" ref="AL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4.9869999999954642</v>
      </c>
      <c r="AM27" s="1177">
        <f ca="1">Tab_NewTRADER[[#This Row],[N]]*(Tab_NewTRADER[[#This Row],[M]]-Tab_NewTRADER[[#This Row],[A]])*(1-Commission)*Tab_NewTRADER[[#This Row],[Scale]]</f>
        <v>-11636.238342857157</v>
      </c>
      <c r="AN27" s="1177">
        <f ca="1">Tab_NewTRADER[[#This Row],[M]]*Tab_NewTRADER[[#This Row],[N]]*(1-Commission)*Tab_NewTRADER[[#This Row],[Scale]]</f>
        <v>388417.48199999996</v>
      </c>
      <c r="AO27" s="1186" cm="1">
        <f t="array" aca="1" ref="AO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-2.9086689489812963E-2</v>
      </c>
      <c r="AP27" s="1186" cm="1">
        <f t="array" aca="1" ref="AP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-2.5229643324860109E-3</v>
      </c>
      <c r="AQ27" s="825" cm="1">
        <f t="array" aca="1" ref="AQ27" ca="1">_xlfn.IFS(   Tab_NewTRADER[[#This Row],[Trap_vs_Last]]=SellMorePercentGain,                     MIN(Tab_NewTRADER[[#This Row],[L_Sn]],Tab_NewTRADER[[#This Row],[N]])*(Tab_NewTRADER[[#This Row],[M]]-Tab_NewTRADER[[#This Row],[L_Sp]])*(1-Commission)*Tab_NewTRADER[[#This Row],[Scale]],                    TRUE,"")</f>
        <v>4.9869999999954642</v>
      </c>
      <c r="AR27" s="1175">
        <f ca="1">_xlfn.XLOOKUP(Tab_NewTRADER[[#This Row],[ClickTick]],TabCalc[Ticker],TabCalc[Ann%RevLB])</f>
        <v>2.2892133772962855</v>
      </c>
      <c r="AS27" s="1282">
        <f ca="1">_xlfn.XLOOKUP(Tab_NewTRADER[[#This Row],[ClickTick]],TabCalc[Ticker],TabCalc[Up20])</f>
        <v>0</v>
      </c>
      <c r="AT27" s="1187" t="str" cm="1">
        <f t="array" aca="1" ref="AT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7" s="825" t="str" cm="1">
        <f t="array" aca="1" ref="AU27" ca="1">_xlfn.IFS(         Tab_NewTRADER[[#This Row],[Trap_vs_Last]]=MDown,Tab_NewTRADER[[#This Row],[L_Bn]]*Tab_NewTRADER[[#This Row],[M]]*(-(Tab_NewTRADER[[#This Row],[L_Bp]]+Tab_NewTRADER[[#This Row],[M]])/Tab_NewTRADER[[#This Row],[M]])*(1-Commission)*Tab_NewTRADER[[#This Row],[Scale]],                               TRUE,"")</f>
        <v/>
      </c>
      <c r="AV27" s="1186" cm="1">
        <f t="array" aca="1" ref="AV27" ca="1">_xlfn.IFS(   Tab_NewTRADER[[#This Row],[Trap_vs_Last]]=MUp,Tab_NewTRADER[[#This Row],[TakeGain_A]]-Commission,        Tab_NewTRADER[[#This Row],[Trap_vs_Last]]=MDown,(Tab_NewTRADER[[#This Row],[A]]-Tab_NewTRADER[[#This Row],[M]])/Tab_NewTRADER[[#This Row],[M]]-Commission,                              TRUE,"")</f>
        <v>-3.1686689489812965E-2</v>
      </c>
      <c r="AW27" s="825" cm="1">
        <f t="array" aca="1" ref="AW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-11297.778691349014</v>
      </c>
      <c r="AX27" s="760" t="str" cm="1">
        <f t="array" aca="1" ref="AX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-1.5%</v>
      </c>
      <c r="AY27" s="736" t="str" cm="1">
        <f t="array" aca="1" ref="AY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2,000x-1.94</v>
      </c>
      <c r="AZ27" s="765" cm="1">
        <f t="array" aca="1" ref="AZ27" ca="1">_xlfn.IFS(Tab_NewTRADER[[#This Row],[Trap_vs_Last]]=ReSaleGain,"",         Tab_NewTRADER[[#This Row],[Trap_vs_Last]]=MDown, (Tab_NewTRADER[[#This Row],[M]]-Tab_NewTRADER[[#This Row],[A]])/Tab_NewTRADER[[#This Row],[A]]*ComFactor,             TRUE, IFERROR((Tab_NewTRADER[[#This Row],[M]]-Tab_NewTRADER[[#This Row],[A]])/Tab_NewTRADER[[#This Row],[A]]*ComFactor,""))</f>
        <v>-2.9011064097139449E-2</v>
      </c>
      <c r="BA27" s="762" cm="1">
        <f t="array" aca="1" ref="BA27" ca="1">_xlfn.IFS(               Tab_NewTRADER[[#This Row],[Trap_vs_Last]]=NoStock,(Tab_NewTRADER[[#This Row],[L_Sp]]-Tab_NewTRADER[[#This Row],[M]])/Tab_NewTRADER[[#This Row],[M]]-Commission,             Tab_NewTRADER[[#This Row],[A]]&lt;&gt;0,(Tab_NewTRADER[[#This Row],[A]]-Tab_NewTRADER[[#This Row],[M]])/Tab_NewTRADER[[#This Row],[M]]-Commission)</f>
        <v>2.7358070586681674E-2</v>
      </c>
      <c r="BB27" s="324">
        <f ca="1">_xlfn.XLOOKUP(Tab_NewTRADER[[#This Row],[ClickTick]],TabCalc[Ticker],TabCalc[L_Sn])</f>
        <v>1000</v>
      </c>
      <c r="BC27" s="728">
        <f ca="1">_xlfn.XLOOKUP(Tab_NewTRADER[[#This Row],[ClickTick]],TabCalc[Ticker],TabCalc[L_Sp])</f>
        <v>64.900000000000006</v>
      </c>
      <c r="BD27" s="764">
        <f ca="1">-IFERROR((Tab_NewTRADER[[#This Row],[M]]-Tab_NewTRADER[[#This Row],[L_Sp]])/Tab_NewTRADER[[#This Row],[L_Sp]],0)</f>
        <v>-7.7041602465261201E-5</v>
      </c>
      <c r="BE27" s="729">
        <f ca="1">MIN(Tab_NewTRADER[[#This Row],[L_Sn]],Tab_NewTRADER[[#This Row],[N]])*(Tab_NewTRADER[[#This Row],[M]]-Tab_NewTRADER[[#This Row],[L_Sp]])*(1-Commission)*Tab_NewTRADER[[#This Row],[Scale]]</f>
        <v>4.9869999999954642</v>
      </c>
      <c r="BF27" s="692">
        <f ca="1">Tab_NewTRADER[[#This Row],[L_Sn]]*(Tab_NewTRADER[[#This Row],[Agiotage]]-Tab_NewTRADER[[#This Row],[M]])/(Tab_NewTRADER[[#This Row],[L_Bn]]*Tab_NewTRADER[[#This Row],[M]])</f>
        <v>-0.49337571087144</v>
      </c>
      <c r="BG27" s="635">
        <f ca="1">IFERROR((Tab_NewTRADER[[#This Row],[M]]-Tab_NewTRADER[[#This Row],[A]])/Tab_NewTRADER[[#This Row],[A]],0)</f>
        <v>-2.9086689489812963E-2</v>
      </c>
      <c r="BH27" s="638" t="str">
        <f ca="1">TEXT(_xlfn.XLOOKUP(Tab_NewTRADER[[#This Row],[ClickTick]],TabCalc[Ticker],TabCalc[NAfter]),"#,#0")&amp;" : "&amp;TEXT(_xlfn.XLOOKUP(Tab_NewTRADER[[#This Row],[ClickTick]],TabCalc[Ticker],TabCalc[NAfter])*(Tab_NewTRADER[[#This Row],[M]]-Tab_NewTRADER[[#This Row],[A]])*(1-Commission)*Tab_NewTRADER[[#This Row],[Scale]],"#,#0$")</f>
        <v>6,000 : -11,636$</v>
      </c>
      <c r="BI27" s="684">
        <f ca="1">_xlfn.XLOOKUP(Tab_NewTRADER[[#This Row],[ClickTick]],TabCalc[[#This Row],[Ticker]],TabCalc[[#This Row],[GL]])*(1-Commission)</f>
        <v>100456.12322599998</v>
      </c>
      <c r="BJ27" s="684"/>
      <c r="BK27" s="669" t="str">
        <f ca="1">Tab_NewTRADER[[#This Row],[ClickTick]]&amp;": "&amp;_xlfn.XLOOKUP(Tab_NewTRADER[[#This Row],[ClickTick]],TabCalc[Ticker],TabCalc[Pile?])</f>
        <v>KR: Pile</v>
      </c>
      <c r="BL27" s="351" t="s">
        <v>2044</v>
      </c>
      <c r="BM27" s="755" t="str" cm="1">
        <f t="array" aca="1" ref="BM27" ca="1">_xlfn.TEXTJOIN("",,INDEX({"M","A","Y"}, _xlfn.SORTBY({1,2,3}, -CHOOSE({1,2,3}, Tab_NewTRADER[[#This Row],[M]], Tab_NewTRADER[[#This Row],[A]], Tab_NewTRADER[[#This Row],[Agiotage]]))))</f>
        <v>AMY</v>
      </c>
      <c r="BN27" s="909" cm="1">
        <f t="array" aca="1" ref="BN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7.7035667513988945E-5</v>
      </c>
      <c r="BO27" s="679" t="e">
        <f ca="1">Tab_NewTRADER[[#This Row],[L_Sn]]*Tab_NewTRADER[[#This Row],[L_Sp]]+Tab_NewTRADER[[#This Row],[SellMore]]*Tab_NewTRADER[[#This Row],[M]]</f>
        <v>#N/A</v>
      </c>
      <c r="BP27" s="679" t="e">
        <f ca="1">INDEX(
  INDEX(TabConsolid[], , _xlfn.XMATCH(Tab_NewTRADER[[#This Row],[ClickTick]]&amp;1, TabConsolid[#Headers])),
  MATCH(
    -Tab_NewTRADER[[#This Row],[M]],
    INDEX(TabConsolid[], , _xlfn.XMATCH(Tab_NewTRADER[[#This Row],[ClickTick]]&amp;2, TabConsolid[#Headers])),
    -1
  )
)</f>
        <v>#N/A</v>
      </c>
      <c r="BQ27" s="679" cm="1">
        <f t="array" aca="1" ref="BQ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27" s="1156" t="e">
        <f ca="1">Tab_NewTRADER[[#This Row],[ReBuy]]/(Tab_NewTRADER[[#This Row],[L_Sn]]+Tab_NewTRADER[[#This Row],[SellMore]])</f>
        <v>#N/A</v>
      </c>
      <c r="BS27" s="687">
        <f ca="1">((_xlfn.XLOOKUP(Tab_NewTRADER[[#This Row],[ClickTick]],TabCalc[Ticker],TabCalc[NAfter])+Tab_NewTRADER[[#This Row],[L_Sn]])*(Tab_NewTRADER[[#This Row],[Agiotage]]-Tab_NewTRADER[[#This Row],[M]]))/(Tab_NewTRADER[[#This Row],[L_Sn]]*_xlfn.XLOOKUP(Tab_NewTRADER[[#This Row],[ClickTick]],TabCalc[Ticker],TabCalc[NAfter]))</f>
        <v>-7.4719284532925229E-2</v>
      </c>
      <c r="BT27" s="687">
        <f ca="1">(Tab_NewTRADER[[#This Row],[M]]-Tab_NewTRADER[[#This Row],[Agiotage]])/(Tab_NewTRADER[[#This Row],[M]]-Tab_NewTRADER[[#This Row],[A]])-1</f>
        <v>-33.937749408386658</v>
      </c>
      <c r="BU27" s="1277">
        <f ca="1">_xlfn.XMATCH(Tab_NewTRADER[[#This Row],[ClickTick]]&amp;1, TabConsolid[#Headers])</f>
        <v>74</v>
      </c>
      <c r="BV27" t="b">
        <f ca="1">IF(ABS(Tab_NewTRADER[[#This Row],[L_Bp]])&gt;=Tab_NewTRADER[[#This Row],[M]],"OK")</f>
        <v>0</v>
      </c>
    </row>
    <row r="28" spans="1:74"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30.2%</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6,510$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20.4% = 0</v>
      </c>
      <c r="I28" s="226" t="str">
        <f ca="1">IFERROR(TRUNC(TabCalc[[#This Row],[L_S1p]],2)&amp;"x"&amp;TabCalc[[#This Row],[L_S1n]]&amp;"=   "&amp;TEXT(TabCalc[[#This Row],[ReverseB1]],"#,#0"),"")</f>
        <v>4.96x2276=   -12,898</v>
      </c>
      <c r="J28" s="295">
        <f ca="1">_xlfn.XLOOKUP(Tab_NewTRADER[[#This Row],[ClickTick]],TabCalc[Ticker],ListGravity)</f>
        <v>1.4111006585136405</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2.7624119502200064</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0.43261455525606479</v>
      </c>
      <c r="S28" s="683">
        <f ca="1">_xlfn.XLOOKUP(Tab_NewTRADER[[#This Row],[ClickTick]],TabCalc[Ticker],TabCalc[Rev(MinStock)])*(1-Commission)</f>
        <v>0</v>
      </c>
      <c r="T28" s="782">
        <f ca="1">_xlfn.XLOOKUP(Tab_NewTRADER[[#This Row],[ClickTick]],TabCalc[Ticker],TabCalc[Agiotage])</f>
        <v>2.7624119502200064</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-7.1%</v>
      </c>
      <c r="V28" s="739" t="str">
        <f ca="1">_xlfn.XLOOKUP(Tab_NewTRADER[[#This Row],[ClickTick]],[1]!RTData[Ticker_Symbol],[1]!RTData[Currency])</f>
        <v>USD</v>
      </c>
      <c r="W28" s="749">
        <f ca="1">_xlfn.XLOOKUP(Tab_NewTRADER[[#This Row],[ClickTick]],TabCalc[Ticker],TabCalc[M])</f>
        <v>10.63</v>
      </c>
      <c r="X28" s="1343"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E28" s="1195" t="str" cm="1">
        <f t="array" aca="1" ref="AE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28" s="1177" t="str" cm="1">
        <f t="array" aca="1" ref="AF28" ca="1">_xlfn.IFS(       Tab_NewTRADER[[#This Row],[Trap_vs_Last]]=RePurchaseGain,TEXT(Tab_NewTRADER[[#This Row],[L_Sn]],"#,#0")&amp;" x "&amp;TEXT(Tab_NewTRADER[[#This Row],[L_Sp]],"#,#0.#0"),     Tab_NewTRADER[[#This Row],[Trap_vs_Last]]=ReSaleGain,Tab_NewTRADER[[#This Row],[ToSell]],               TRUE,"")</f>
        <v/>
      </c>
      <c r="AG28" s="1177" t="str" cm="1">
        <f t="array" aca="1" ref="AG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28" s="1370" t="str">
        <f ca="1">TEXT(MIN(Tab_NewTRADER[[#This Row],[L_Bn]],Tab_NewTRADER[[#This Row],[N]]),"#,#0")&amp;" x "&amp;TEXT(Tab_NewTRADER[[#This Row],[L_Bp]],"#,#0.#0")</f>
        <v>0 x -7.42</v>
      </c>
      <c r="AI28" s="1370">
        <f ca="1">IF(Tab_NewTRADER[[#This Row],[M]]&lt;_xlfn.XLOOKUP(Tab_NewTRADER[[#This Row],[ClickTick]],TabCalc[Ticker],TabCalc[Max_Buy_P]), 0,Tab_NewTRADER[[#This Row],[Sale_Back_$]])</f>
        <v>0</v>
      </c>
      <c r="AJ28" s="1370" t="str">
        <f ca="1">TEXT(Tab_NewTRADER[[#This Row],[L_Sn]],"#,#0")&amp;" ("&amp;Tab_NewTRADER[[#This Row],[M]]&amp;"/"&amp;TEXT(Tab_NewTRADER[[#This Row],[L_Sp]],"#,#0.#0)")</f>
        <v>3,000 (10.63/8.46)</v>
      </c>
      <c r="AK28" s="1370">
        <f ca="1">IF(Tab_NewTRADER[[#This Row],[M]]&lt;_xlfn.XLOOKUP(Tab_NewTRADER[[#This Row],[ClickTick]],TabCalc[Ticker],TabCalc[Max_Buy_P]), -Tab_NewTRADER[[#This Row],[Buy_Back]], 0)</f>
        <v>0</v>
      </c>
      <c r="AL28" s="1177" t="str" cm="1">
        <f t="array" aca="1" ref="AL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8" s="1177">
        <f ca="1">Tab_NewTRADER[[#This Row],[N]]*(Tab_NewTRADER[[#This Row],[M]]-Tab_NewTRADER[[#This Row],[A]])*(1-Commission)*Tab_NewTRADER[[#This Row],[Scale]]</f>
        <v>0</v>
      </c>
      <c r="AN28" s="1177">
        <f ca="1">Tab_NewTRADER[[#This Row],[M]]*Tab_NewTRADER[[#This Row],[N]]*(1-Commission)*Tab_NewTRADER[[#This Row],[Scale]]</f>
        <v>0</v>
      </c>
      <c r="AO28" s="1186" t="str" cm="1">
        <f t="array" aca="1" ref="AO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28" s="1186" t="str" cm="1">
        <f t="array" aca="1" ref="AP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Tab_NewTRADER[[#This Row],[Trap_vs_Last]]=SellMorePercentGain,                     MIN(Tab_NewTRADER[[#This Row],[L_Sn]],Tab_NewTRADER[[#This Row],[N]])*(Tab_NewTRADER[[#This Row],[M]]-Tab_NewTRADER[[#This Row],[L_Sp]])*(1-Commission)*Tab_NewTRADER[[#This Row],[Scale]],                    TRUE,"")</f>
        <v/>
      </c>
      <c r="AR28" s="1192">
        <f ca="1">_xlfn.XLOOKUP(Tab_NewTRADER[[#This Row],[ClickTick]],TabCalc[Ticker],TabCalc[Ann%RevLB])</f>
        <v>0.4792038150528718</v>
      </c>
      <c r="AS28" s="1281">
        <f ca="1">_xlfn.XLOOKUP(Tab_NewTRADER[[#This Row],[ClickTick]],TabCalc[Ticker],TabCalc[Up20])</f>
        <v>0</v>
      </c>
      <c r="AT28" s="1187" t="str" cm="1">
        <f t="array" aca="1" ref="AT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8" s="825" t="str" cm="1">
        <f t="array" aca="1" ref="AU28" ca="1">_xlfn.IFS(         Tab_NewTRADER[[#This Row],[Trap_vs_Last]]=MDown,Tab_NewTRADER[[#This Row],[L_Bn]]*Tab_NewTRADER[[#This Row],[M]]*(-(Tab_NewTRADER[[#This Row],[L_Bp]]+Tab_NewTRADER[[#This Row],[M]])/Tab_NewTRADER[[#This Row],[M]])*(1-Commission)*Tab_NewTRADER[[#This Row],[Scale]],                               TRUE,"")</f>
        <v/>
      </c>
      <c r="AV28" s="1186" t="str" cm="1">
        <f t="array" aca="1" ref="AV28" ca="1">_xlfn.IFS(   Tab_NewTRADER[[#This Row],[Trap_vs_Last]]=MUp,Tab_NewTRADER[[#This Row],[TakeGain_A]]-Commission,        Tab_NewTRADER[[#This Row],[Trap_vs_Last]]=MDown,(Tab_NewTRADER[[#This Row],[A]]-Tab_NewTRADER[[#This Row],[M]])/Tab_NewTRADER[[#This Row],[M]]-Commission,                              TRUE,"")</f>
        <v/>
      </c>
      <c r="AW28" s="825" cm="1">
        <f t="array" aca="1" ref="AW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28" s="760" t="str" cm="1">
        <f t="array" aca="1" ref="AX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-0.5%</v>
      </c>
      <c r="AY28" s="736" t="str" cm="1">
        <f t="array" aca="1" ref="AY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0x10.63</v>
      </c>
      <c r="AZ28" s="765" t="str" cm="1">
        <f t="array" aca="1" ref="AZ28" ca="1">_xlfn.IFS(Tab_NewTRADER[[#This Row],[Trap_vs_Last]]=ReSaleGain,"",         Tab_NewTRADER[[#This Row],[Trap_vs_Last]]=MDown, (Tab_NewTRADER[[#This Row],[M]]-Tab_NewTRADER[[#This Row],[A]])/Tab_NewTRADER[[#This Row],[A]]*ComFactor,             TRUE, IFERROR((Tab_NewTRADER[[#This Row],[M]]-Tab_NewTRADER[[#This Row],[A]])/Tab_NewTRADER[[#This Row],[A]]*ComFactor,""))</f>
        <v/>
      </c>
      <c r="BA28" s="762" cm="1">
        <f t="array" aca="1" ref="BA28" ca="1">_xlfn.IFS(               Tab_NewTRADER[[#This Row],[Trap_vs_Last]]=NoStock,(Tab_NewTRADER[[#This Row],[L_Sp]]-Tab_NewTRADER[[#This Row],[M]])/Tab_NewTRADER[[#This Row],[M]]-Commission,             Tab_NewTRADER[[#This Row],[A]]&lt;&gt;0,(Tab_NewTRADER[[#This Row],[A]]-Tab_NewTRADER[[#This Row],[M]])/Tab_NewTRADER[[#This Row],[M]]-Commission)</f>
        <v>-0.20673922859830665</v>
      </c>
      <c r="BB28" s="324">
        <f ca="1">_xlfn.XLOOKUP(Tab_NewTRADER[[#This Row],[ClickTick]],TabCalc[Ticker],TabCalc[L_Sn])</f>
        <v>3000</v>
      </c>
      <c r="BC28" s="728">
        <f ca="1">_xlfn.XLOOKUP(Tab_NewTRADER[[#This Row],[ClickTick]],TabCalc[Ticker],TabCalc[L_Sp])</f>
        <v>8.4600000000000009</v>
      </c>
      <c r="BD28" s="764">
        <f ca="1">-IFERROR((Tab_NewTRADER[[#This Row],[M]]-Tab_NewTRADER[[#This Row],[L_Sp]])/Tab_NewTRADER[[#This Row],[L_Sp]],0)</f>
        <v>-0.25650118203309691</v>
      </c>
      <c r="BE28" s="729">
        <f ca="1">MIN(Tab_NewTRADER[[#This Row],[L_Sn]],Tab_NewTRADER[[#This Row],[N]])*(Tab_NewTRADER[[#This Row],[M]]-Tab_NewTRADER[[#This Row],[L_Sp]])*(1-Commission)*Tab_NewTRADER[[#This Row],[Scale]]</f>
        <v>0</v>
      </c>
      <c r="BF28" s="692">
        <f ca="1">Tab_NewTRADER[[#This Row],[L_Sn]]*(Tab_NewTRADER[[#This Row],[Agiotage]]-Tab_NewTRADER[[#This Row],[M]])/(Tab_NewTRADER[[#This Row],[L_Bn]]*Tab_NewTRADER[[#This Row],[M]])</f>
        <v>-0.74013057853057329</v>
      </c>
      <c r="BG28" s="635">
        <f ca="1">IFERROR((Tab_NewTRADER[[#This Row],[M]]-Tab_NewTRADER[[#This Row],[A]])/Tab_NewTRADER[[#This Row],[A]],0)</f>
        <v>0</v>
      </c>
      <c r="BH28" s="638" t="str">
        <f ca="1">TEXT(_xlfn.XLOOKUP(Tab_NewTRADER[[#This Row],[ClickTick]],TabCalc[Ticker],TabCalc[NAfter]),"#,#0")&amp;" : "&amp;TEXT(_xlfn.XLOOKUP(Tab_NewTRADER[[#This Row],[ClickTick]],TabCalc[Ticker],TabCalc[NAfter])*(Tab_NewTRADER[[#This Row],[M]]-Tab_NewTRADER[[#This Row],[A]])*(1-Commission)*Tab_NewTRADER[[#This Row],[Scale]],"#,#0$")</f>
        <v>0 : 0$</v>
      </c>
      <c r="BI28" s="684">
        <f ca="1">_xlfn.XLOOKUP(Tab_NewTRADER[[#This Row],[ClickTick]],TabCalc[[#This Row],[Ticker]],TabCalc[[#This Row],[GL]])*(1-Commission)</f>
        <v>-15987.309439519993</v>
      </c>
      <c r="BJ28" s="684"/>
      <c r="BK28" s="669" t="str">
        <f ca="1">Tab_NewTRADER[[#This Row],[ClickTick]]&amp;": "&amp;_xlfn.XLOOKUP(Tab_NewTRADER[[#This Row],[ClickTick]],TabCalc[Ticker],TabCalc[Pile?])</f>
        <v xml:space="preserve">LNSR: </v>
      </c>
      <c r="BL28" s="351" t="s">
        <v>2050</v>
      </c>
      <c r="BM28" s="755" t="str" cm="1">
        <f t="array" aca="1" ref="BM28" ca="1">_xlfn.TEXTJOIN("",,INDEX({"M","A","Y"}, _xlfn.SORTBY({1,2,3}, -CHOOSE({1,2,3}, Tab_NewTRADER[[#This Row],[M]], Tab_NewTRADER[[#This Row],[A]], Tab_NewTRADER[[#This Row],[Agiotage]]))))</f>
        <v>MYA</v>
      </c>
      <c r="BN28" s="909" t="str" cm="1">
        <f t="array" aca="1" ref="BN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8" s="679" t="e">
        <f ca="1">Tab_NewTRADER[[#This Row],[L_Sn]]*Tab_NewTRADER[[#This Row],[L_Sp]]+Tab_NewTRADER[[#This Row],[SellMore]]*Tab_NewTRADER[[#This Row],[M]]</f>
        <v>#N/A</v>
      </c>
      <c r="BP28" s="679" t="e">
        <f ca="1">INDEX(
  INDEX(TabConsolid[], , _xlfn.XMATCH(Tab_NewTRADER[[#This Row],[ClickTick]]&amp;1, TabConsolid[#Headers])),
  MATCH(
    -Tab_NewTRADER[[#This Row],[M]],
    INDEX(TabConsolid[], , _xlfn.XMATCH(Tab_NewTRADER[[#This Row],[ClickTick]]&amp;2, TabConsolid[#Headers])),
    -1
  )
)</f>
        <v>#N/A</v>
      </c>
      <c r="BQ28" s="679" cm="1">
        <f t="array" aca="1" ref="BQ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8" s="1156" t="e">
        <f ca="1">Tab_NewTRADER[[#This Row],[ReBuy]]/(Tab_NewTRADER[[#This Row],[L_Sn]]+Tab_NewTRADER[[#This Row],[SellMore]])</f>
        <v>#N/A</v>
      </c>
      <c r="BS28" s="687" t="e">
        <f ca="1">((_xlfn.XLOOKUP(Tab_NewTRADER[[#This Row],[ClickTick]],TabCalc[Ticker],TabCalc[NAfter])+Tab_NewTRADER[[#This Row],[L_Sn]])*(Tab_NewTRADER[[#This Row],[Agiotage]]-Tab_NewTRADER[[#This Row],[M]]))/(Tab_NewTRADER[[#This Row],[L_Sn]]*_xlfn.XLOOKUP(Tab_NewTRADER[[#This Row],[ClickTick]],TabCalc[Ticker],TabCalc[NAfter]))</f>
        <v>#DIV/0!</v>
      </c>
      <c r="BT28" s="687">
        <f ca="1">(Tab_NewTRADER[[#This Row],[M]]-Tab_NewTRADER[[#This Row],[Agiotage]])/(Tab_NewTRADER[[#This Row],[M]]-Tab_NewTRADER[[#This Row],[A]])-1</f>
        <v>-0.25986942146942671</v>
      </c>
      <c r="BU28" s="1277">
        <f ca="1">_xlfn.XMATCH(Tab_NewTRADER[[#This Row],[ClickTick]]&amp;1, TabConsolid[#Headers])</f>
        <v>77</v>
      </c>
      <c r="BV28" t="b">
        <f ca="1">IF(ABS(Tab_NewTRADER[[#This Row],[L_Bp]])&gt;=Tab_NewTRADER[[#This Row],[M]],"OK")</f>
        <v>0</v>
      </c>
    </row>
    <row r="29" spans="1:74"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+54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51.7%</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75$</v>
      </c>
      <c r="G29" s="225" t="str">
        <f ca="1">IFERROR(TRUNC(_xlfn.XLOOKUP(Tab_NewTRADER[[#This Row],[ClickTick]],TabCalc[Ticker],ListLastSalep),2)&amp;"x"&amp;_xlfn.XLOOKUP(Tab_NewTRADER[[#This Row],[ClickTick]],TabCalc[Ticker],ListLastSalen)&amp;"=   "&amp;TEXT(-_xlfn.XLOOKUP(Tab_NewTRADER[[#This Row],[ClickTick]],TabCalc[Ticker],ListReverseB),"#,#0")&amp;"$","")</f>
        <v>6.8x990=   3,648$</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-35.1% = 0</v>
      </c>
      <c r="I29" s="226" t="str">
        <f ca="1">IFERROR(TRUNC(TabCalc[[#This Row],[L_S1p]],2)&amp;"x"&amp;TabCalc[[#This Row],[L_S1n]]&amp;"=   "&amp;TEXT(TabCalc[[#This Row],[ReverseB1]],"#,#0"),"")</f>
        <v>5.56x1000=   -4,925</v>
      </c>
      <c r="J29" s="295">
        <f ca="1">_xlfn.XLOOKUP(Tab_NewTRADER[[#This Row],[ClickTick]],TabCalc[Ticker],ListGravity)</f>
        <v>0.56824034334763951</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0.77531527078625462</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1.0687409979677605</v>
      </c>
      <c r="S29" s="683">
        <f ca="1">_xlfn.XLOOKUP(Tab_NewTRADER[[#This Row],[ClickTick]],TabCalc[Ticker],TabCalc[Rev(MinStock)])*(1-Commission)</f>
        <v>54.026165799999994</v>
      </c>
      <c r="T29" s="782">
        <f ca="1">_xlfn.XLOOKUP(Tab_NewTRADER[[#This Row],[ClickTick]],TabCalc[Ticker],TabCalc[Agiotage])</f>
        <v>0.77531527078625462</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-4/-4=&gt;-4.2% / -4.2%</v>
      </c>
      <c r="V29" s="739" t="str">
        <f ca="1">_xlfn.XLOOKUP(Tab_NewTRADER[[#This Row],[ClickTick]],[1]!RTData[Ticker_Symbol],[1]!RTData[Currency])</f>
        <v>USD</v>
      </c>
      <c r="W29" s="749">
        <f ca="1">_xlfn.XLOOKUP(Tab_NewTRADER[[#This Row],[ClickTick]],TabCalc[Ticker],TabCalc[M])</f>
        <v>10.484999999999999</v>
      </c>
      <c r="X29" s="1343"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E29" s="1195" t="str" cm="1">
        <f t="array" aca="1" ref="AE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9" s="1177" t="str" cm="1">
        <f t="array" aca="1" ref="AF29" ca="1">_xlfn.IFS(       Tab_NewTRADER[[#This Row],[Trap_vs_Last]]=RePurchaseGain,TEXT(Tab_NewTRADER[[#This Row],[L_Sn]],"#,#0")&amp;" x "&amp;TEXT(Tab_NewTRADER[[#This Row],[L_Sp]],"#,#0.#0"),     Tab_NewTRADER[[#This Row],[Trap_vs_Last]]=ReSaleGain,Tab_NewTRADER[[#This Row],[ToSell]],               TRUE,"")</f>
        <v/>
      </c>
      <c r="AG29" s="1177" t="str" cm="1">
        <f t="array" aca="1" ref="AG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H29" s="1370" t="str">
        <f ca="1">TEXT(MIN(Tab_NewTRADER[[#This Row],[L_Bn]],Tab_NewTRADER[[#This Row],[N]]),"#,#0")&amp;" x "&amp;TEXT(Tab_NewTRADER[[#This Row],[L_Bp]],"#,#0.#0")</f>
        <v>10 x -5.07</v>
      </c>
      <c r="AI29" s="1370">
        <f ca="1">IF(Tab_NewTRADER[[#This Row],[M]]&lt;_xlfn.XLOOKUP(Tab_NewTRADER[[#This Row],[ClickTick]],TabCalc[Ticker],TabCalc[Max_Buy_P]), 0,Tab_NewTRADER[[#This Row],[Sale_Back_$]])</f>
        <v>54.026165799999994</v>
      </c>
      <c r="AJ29" s="1370" t="str">
        <f ca="1">TEXT(Tab_NewTRADER[[#This Row],[L_Sn]],"#,#0")&amp;" ("&amp;Tab_NewTRADER[[#This Row],[M]]&amp;"/"&amp;TEXT(Tab_NewTRADER[[#This Row],[L_Sp]],"#,#0.#0)")</f>
        <v>990 (10.485/6.80)</v>
      </c>
      <c r="AK29" s="1370">
        <f ca="1">IF(Tab_NewTRADER[[#This Row],[M]]&lt;_xlfn.XLOOKUP(Tab_NewTRADER[[#This Row],[ClickTick]],TabCalc[Ticker],TabCalc[Max_Buy_P]), -Tab_NewTRADER[[#This Row],[Buy_Back]], 0)</f>
        <v>0</v>
      </c>
      <c r="AL29" s="1177" cm="1">
        <f t="array" aca="1" ref="AL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36.754189999999994</v>
      </c>
      <c r="AM29" s="760">
        <f ca="1">Tab_NewTRADER[[#This Row],[N]]*(Tab_NewTRADER[[#This Row],[M]]-Tab_NewTRADER[[#This Row],[A]])*(1-Commission)*Tab_NewTRADER[[#This Row],[Scale]]</f>
        <v>54.026165799999994</v>
      </c>
      <c r="AN29" s="760">
        <f ca="1">Tab_NewTRADER[[#This Row],[M]]*Tab_NewTRADER[[#This Row],[N]]*(1-Commission)*Tab_NewTRADER[[#This Row],[Scale]]</f>
        <v>104.57738999999999</v>
      </c>
      <c r="AO29" s="1186" cm="1">
        <f t="array" aca="1" ref="AO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1.0687409979677605</v>
      </c>
      <c r="AP29" s="1186" cm="1">
        <f t="array" aca="1" ref="AP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0.34885445875059606</v>
      </c>
      <c r="AQ29" s="825" cm="1">
        <f t="array" aca="1" ref="AQ29" ca="1">_xlfn.IFS(   Tab_NewTRADER[[#This Row],[Trap_vs_Last]]=SellMorePercentGain,                     MIN(Tab_NewTRADER[[#This Row],[L_Sn]],Tab_NewTRADER[[#This Row],[N]])*(Tab_NewTRADER[[#This Row],[M]]-Tab_NewTRADER[[#This Row],[L_Sp]])*(1-Commission)*Tab_NewTRADER[[#This Row],[Scale]],                    TRUE,"")</f>
        <v>36.754189999999994</v>
      </c>
      <c r="AR29" s="1175">
        <f ca="1">_xlfn.XLOOKUP(Tab_NewTRADER[[#This Row],[ClickTick]],TabCalc[Ticker],TabCalc[Ann%RevLB])</f>
        <v>1.3547421100999781</v>
      </c>
      <c r="AS29" s="1282">
        <f ca="1">_xlfn.XLOOKUP(Tab_NewTRADER[[#This Row],[ClickTick]],TabCalc[Ticker],TabCalc[Up20])</f>
        <v>0</v>
      </c>
      <c r="AT29" s="1187" t="str" cm="1">
        <f t="array" aca="1" ref="AT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29" s="825" t="str" cm="1">
        <f t="array" aca="1" ref="AU29" ca="1">_xlfn.IFS(         Tab_NewTRADER[[#This Row],[Trap_vs_Last]]=MDown,Tab_NewTRADER[[#This Row],[L_Bn]]*Tab_NewTRADER[[#This Row],[M]]*(-(Tab_NewTRADER[[#This Row],[L_Bp]]+Tab_NewTRADER[[#This Row],[M]])/Tab_NewTRADER[[#This Row],[M]])*(1-Commission)*Tab_NewTRADER[[#This Row],[Scale]],                               TRUE,"")</f>
        <v/>
      </c>
      <c r="AV29" s="1186" cm="1">
        <f t="array" aca="1" ref="AV29" ca="1">_xlfn.IFS(   Tab_NewTRADER[[#This Row],[Trap_vs_Last]]=MUp,Tab_NewTRADER[[#This Row],[TakeGain_A]]-Commission,        Tab_NewTRADER[[#This Row],[Trap_vs_Last]]=MDown,(Tab_NewTRADER[[#This Row],[A]]-Tab_NewTRADER[[#This Row],[M]])/Tab_NewTRADER[[#This Row],[M]]-Commission,                              TRUE,"")</f>
        <v>1.0661409979677605</v>
      </c>
      <c r="AW29" s="825" cm="1">
        <f t="array" aca="1" ref="AW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111.76614415346367</v>
      </c>
      <c r="AX29" s="760" t="str" cm="1">
        <f t="array" aca="1" ref="AX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Y29" s="736" t="str" cm="1">
        <f t="array" aca="1" ref="AY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10x5.41</v>
      </c>
      <c r="AZ29" s="765" cm="1">
        <f t="array" aca="1" ref="AZ29" ca="1">_xlfn.IFS(Tab_NewTRADER[[#This Row],[Trap_vs_Last]]=ReSaleGain,"",         Tab_NewTRADER[[#This Row],[Trap_vs_Last]]=MDown, (Tab_NewTRADER[[#This Row],[M]]-Tab_NewTRADER[[#This Row],[A]])/Tab_NewTRADER[[#This Row],[A]]*ComFactor,             TRUE, IFERROR((Tab_NewTRADER[[#This Row],[M]]-Tab_NewTRADER[[#This Row],[A]])/Tab_NewTRADER[[#This Row],[A]]*ComFactor,""))</f>
        <v>1.0659622713730443</v>
      </c>
      <c r="BA29" s="762" cm="1">
        <f t="array" aca="1" ref="BA29" ca="1">_xlfn.IFS(               Tab_NewTRADER[[#This Row],[Trap_vs_Last]]=NoStock,(Tab_NewTRADER[[#This Row],[L_Sp]]-Tab_NewTRADER[[#This Row],[M]])/Tab_NewTRADER[[#This Row],[M]]-Commission,             Tab_NewTRADER[[#This Row],[A]]&lt;&gt;0,(Tab_NewTRADER[[#This Row],[A]]-Tab_NewTRADER[[#This Row],[M]])/Tab_NewTRADER[[#This Row],[M]]-Commission)</f>
        <v>-0.5192142107773009</v>
      </c>
      <c r="BB29" s="324">
        <f ca="1">_xlfn.XLOOKUP(Tab_NewTRADER[[#This Row],[ClickTick]],TabCalc[Ticker],TabCalc[L_Sn])</f>
        <v>990</v>
      </c>
      <c r="BC29" s="728">
        <f ca="1">_xlfn.XLOOKUP(Tab_NewTRADER[[#This Row],[ClickTick]],TabCalc[Ticker],TabCalc[L_Sp])</f>
        <v>6.8</v>
      </c>
      <c r="BD29" s="764">
        <f ca="1">-IFERROR((Tab_NewTRADER[[#This Row],[M]]-Tab_NewTRADER[[#This Row],[L_Sp]])/Tab_NewTRADER[[#This Row],[L_Sp]],0)</f>
        <v>-0.54191176470588232</v>
      </c>
      <c r="BE29" s="729">
        <f ca="1">MIN(Tab_NewTRADER[[#This Row],[L_Sn]],Tab_NewTRADER[[#This Row],[N]])*(Tab_NewTRADER[[#This Row],[M]]-Tab_NewTRADER[[#This Row],[L_Sp]])*(1-Commission)*Tab_NewTRADER[[#This Row],[Scale]]</f>
        <v>36.754189999999994</v>
      </c>
      <c r="BF29" s="692">
        <f ca="1">Tab_NewTRADER[[#This Row],[L_Sn]]*(Tab_NewTRADER[[#This Row],[Agiotage]]-Tab_NewTRADER[[#This Row],[M]])/(Tab_NewTRADER[[#This Row],[L_Bn]]*Tab_NewTRADER[[#This Row],[M]])</f>
        <v>-0.45839713313884628</v>
      </c>
      <c r="BG29" s="635">
        <f ca="1">IFERROR((Tab_NewTRADER[[#This Row],[M]]-Tab_NewTRADER[[#This Row],[A]])/Tab_NewTRADER[[#This Row],[A]],0)</f>
        <v>1.0687409979677605</v>
      </c>
      <c r="BH29" s="638" t="str">
        <f ca="1">TEXT(_xlfn.XLOOKUP(Tab_NewTRADER[[#This Row],[ClickTick]],TabCalc[Ticker],TabCalc[NAfter]),"#,#0")&amp;" : "&amp;TEXT(_xlfn.XLOOKUP(Tab_NewTRADER[[#This Row],[ClickTick]],TabCalc[Ticker],TabCalc[NAfter])*(Tab_NewTRADER[[#This Row],[M]]-Tab_NewTRADER[[#This Row],[A]])*(1-Commission)*Tab_NewTRADER[[#This Row],[Scale]],"#,#0$")</f>
        <v>10 : 54$</v>
      </c>
      <c r="BI29" s="684">
        <f ca="1">_xlfn.XLOOKUP(Tab_NewTRADER[[#This Row],[ClickTick]],TabCalc[[#This Row],[Ticker]],TabCalc[[#This Row],[GL]])*(1-Commission)</f>
        <v>14757.28105</v>
      </c>
      <c r="BJ29" s="684"/>
      <c r="BK29" s="669" t="str">
        <f ca="1">Tab_NewTRADER[[#This Row],[ClickTick]]&amp;": "&amp;_xlfn.XLOOKUP(Tab_NewTRADER[[#This Row],[ClickTick]],TabCalc[Ticker],TabCalc[Pile?])</f>
        <v xml:space="preserve">LUMN: </v>
      </c>
      <c r="BL29" s="351" t="s">
        <v>2062</v>
      </c>
      <c r="BM29" s="755" t="str" cm="1">
        <f t="array" aca="1" ref="BM29" ca="1">_xlfn.TEXTJOIN("",,INDEX({"M","A","Y"}, _xlfn.SORTBY({1,2,3}, -CHOOSE({1,2,3}, Tab_NewTRADER[[#This Row],[M]], Tab_NewTRADER[[#This Row],[A]], Tab_NewTRADER[[#This Row],[Agiotage]]))))</f>
        <v>MAY</v>
      </c>
      <c r="BN29" s="909" cm="1">
        <f t="array" aca="1" ref="BN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0.35145445875059605</v>
      </c>
      <c r="BO29" s="679">
        <f ca="1">Tab_NewTRADER[[#This Row],[L_Sn]]*Tab_NewTRADER[[#This Row],[L_Sp]]+Tab_NewTRADER[[#This Row],[SellMore]]*Tab_NewTRADER[[#This Row],[M]]</f>
        <v>6836.85</v>
      </c>
      <c r="BP29" s="679">
        <f ca="1">INDEX(
  INDEX(TabConsolid[], , _xlfn.XMATCH(Tab_NewTRADER[[#This Row],[ClickTick]]&amp;1, TabConsolid[#Headers])),
  MATCH(
    -Tab_NewTRADER[[#This Row],[M]],
    INDEX(TabConsolid[], , _xlfn.XMATCH(Tab_NewTRADER[[#This Row],[ClickTick]]&amp;2, TabConsolid[#Headers])),
    -1
  )
)</f>
        <v>10</v>
      </c>
      <c r="BQ29" s="679" cm="1">
        <f t="array" aca="1" ref="BQ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9" s="1156">
        <f ca="1">Tab_NewTRADER[[#This Row],[ReBuy]]/(Tab_NewTRADER[[#This Row],[L_Sn]]+Tab_NewTRADER[[#This Row],[SellMore]])</f>
        <v>6.8368500000000001</v>
      </c>
      <c r="BS29" s="687">
        <f ca="1">((_xlfn.XLOOKUP(Tab_NewTRADER[[#This Row],[ClickTick]],TabCalc[Ticker],TabCalc[NAfter])+Tab_NewTRADER[[#This Row],[L_Sn]])*(Tab_NewTRADER[[#This Row],[Agiotage]]-Tab_NewTRADER[[#This Row],[M]]))/(Tab_NewTRADER[[#This Row],[L_Sn]]*_xlfn.XLOOKUP(Tab_NewTRADER[[#This Row],[ClickTick]],TabCalc[Ticker],TabCalc[NAfter]))</f>
        <v>-0.98077623527411562</v>
      </c>
      <c r="BT29" s="687">
        <f ca="1">(Tab_NewTRADER[[#This Row],[M]]-Tab_NewTRADER[[#This Row],[Agiotage]])/(Tab_NewTRADER[[#This Row],[M]]-Tab_NewTRADER[[#This Row],[A]])-1</f>
        <v>0.79254614972469306</v>
      </c>
      <c r="BU29" s="1277">
        <f ca="1">_xlfn.XMATCH(Tab_NewTRADER[[#This Row],[ClickTick]]&amp;1, TabConsolid[#Headers])</f>
        <v>80</v>
      </c>
      <c r="BV29" t="b">
        <f ca="1">IF(ABS(Tab_NewTRADER[[#This Row],[L_Bp]])&gt;=Tab_NewTRADER[[#This Row],[M]],"OK")</f>
        <v>0</v>
      </c>
    </row>
    <row r="30" spans="1:74"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-50,475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-68.6%</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-22,605$</v>
      </c>
      <c r="G30" s="225" t="str">
        <f ca="1">IFERROR(TRUNC(_xlfn.XLOOKUP(Tab_NewTRADER[[#This Row],[ClickTick]],TabCalc[Ticker],ListLastSalep),2)&amp;"x"&amp;_xlfn.XLOOKUP(Tab_NewTRADER[[#This Row],[ClickTick]],TabCalc[Ticker],ListLastSalen)&amp;"=   "&amp;TEXT(-_xlfn.XLOOKUP(Tab_NewTRADER[[#This Row],[ClickTick]],TabCalc[Ticker],ListReverseB),"#,#0")&amp;"$","")</f>
        <v>88.24x1500=   -95,573$</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259.8% = 78</v>
      </c>
      <c r="I30" s="226" t="str">
        <f ca="1">IFERROR(TRUNC(TabCalc[[#This Row],[L_S1p]],2)&amp;"x"&amp;TabCalc[[#This Row],[L_S1n]]&amp;"=   "&amp;TEXT(TabCalc[[#This Row],[ReverseB1]],"#,#0"),"")</f>
        <v>125.31x2800=   282,198</v>
      </c>
      <c r="J30" s="295">
        <f ca="1">_xlfn.XLOOKUP(Tab_NewTRADER[[#This Row],[ClickTick]],TabCalc[Ticker],ListGravity)</f>
        <v>1.6432212028542303</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289395</v>
      </c>
      <c r="M30" s="323">
        <f ca="1">_xlfn.XLOOKUP(Tab_NewTRADER[[#This Row],[ClickTick]],TabCalc[Ticker],TabCalc[Agiotage])</f>
        <v>0.77200431078922915</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-0.40689238210399037</v>
      </c>
      <c r="S30" s="683">
        <f ca="1">_xlfn.XLOOKUP(Tab_NewTRADER[[#This Row],[ClickTick]],TabCalc[Ticker],TabCalc[Rev(MinStock)])*(1-Commission)</f>
        <v>-50343.765000000007</v>
      </c>
      <c r="T30" s="782">
        <f ca="1">_xlfn.XLOOKUP(Tab_NewTRADER[[#This Row],[ClickTick]],TabCalc[Ticker],TabCalc[Agiotage])</f>
        <v>0.77200431078922915</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7,860/7,860=&gt;0.8% / 0.8%</v>
      </c>
      <c r="V30" s="739" t="str">
        <f ca="1">_xlfn.XLOOKUP(Tab_NewTRADER[[#This Row],[ClickTick]],[1]!RTData[Ticker_Symbol],[1]!RTData[Currency])</f>
        <v>USD</v>
      </c>
      <c r="W30" s="749">
        <f ca="1">_xlfn.XLOOKUP(Tab_NewTRADER[[#This Row],[ClickTick]],TabCalc[Ticker],TabCalc[M])</f>
        <v>24.524999999999999</v>
      </c>
      <c r="X30" s="1343"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-519/294 K$</v>
      </c>
      <c r="AE30" s="1173" t="str" cm="1">
        <f t="array" aca="1" ref="AE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0" s="1177" t="str" cm="1">
        <f t="array" aca="1" ref="AF30" ca="1">_xlfn.IFS(       Tab_NewTRADER[[#This Row],[Trap_vs_Last]]=RePurchaseGain,TEXT(Tab_NewTRADER[[#This Row],[L_Sn]],"#,#0")&amp;" x "&amp;TEXT(Tab_NewTRADER[[#This Row],[L_Sp]],"#,#0.#0"),     Tab_NewTRADER[[#This Row],[Trap_vs_Last]]=ReSaleGain,Tab_NewTRADER[[#This Row],[ToSell]],               TRUE,"")</f>
        <v/>
      </c>
      <c r="AG30" s="1177" t="str" cm="1">
        <f t="array" aca="1" ref="AG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H30" s="1370" t="str">
        <f ca="1">TEXT(MIN(Tab_NewTRADER[[#This Row],[L_Bn]],Tab_NewTRADER[[#This Row],[N]]),"#,#0")&amp;" x "&amp;TEXT(Tab_NewTRADER[[#This Row],[L_Bp]],"#,#0.#0")</f>
        <v>3,000 x -41.35</v>
      </c>
      <c r="AI30" s="1370">
        <f ca="1">IF(Tab_NewTRADER[[#This Row],[M]]&lt;_xlfn.XLOOKUP(Tab_NewTRADER[[#This Row],[ClickTick]],TabCalc[Ticker],TabCalc[Max_Buy_P]), 0,Tab_NewTRADER[[#This Row],[Sale_Back_$]])</f>
        <v>0</v>
      </c>
      <c r="AJ30" s="1370" t="str">
        <f ca="1">TEXT(Tab_NewTRADER[[#This Row],[L_Sn]],"#,#0")&amp;" ("&amp;Tab_NewTRADER[[#This Row],[M]]&amp;"/"&amp;TEXT(Tab_NewTRADER[[#This Row],[L_Sp]],"#,#0.#0)")</f>
        <v>1,500 (24.525/88.24)</v>
      </c>
      <c r="AK30" s="1370">
        <f ca="1">IF(Tab_NewTRADER[[#This Row],[M]]&lt;_xlfn.XLOOKUP(Tab_NewTRADER[[#This Row],[ClickTick]],TabCalc[Ticker],TabCalc[Max_Buy_P]), -Tab_NewTRADER[[#This Row],[Buy_Back]], 0)</f>
        <v>95324.011499999993</v>
      </c>
      <c r="AL30" s="1177" cm="1">
        <f t="array" aca="1" ref="AL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50343.765000000007</v>
      </c>
      <c r="AM30" s="1177">
        <f ca="1">Tab_NewTRADER[[#This Row],[N]]*(Tab_NewTRADER[[#This Row],[M]]-Tab_NewTRADER[[#This Row],[A]])*(1-Commission)*Tab_NewTRADER[[#This Row],[Scale]]</f>
        <v>-563973.88549600006</v>
      </c>
      <c r="AN30" s="1177">
        <f ca="1">Tab_NewTRADER[[#This Row],[M]]*Tab_NewTRADER[[#This Row],[N]]*(1-Commission)*Tab_NewTRADER[[#This Row],[Scale]]</f>
        <v>293534.82</v>
      </c>
      <c r="AO30" s="1186" cm="1">
        <f t="array" aca="1" ref="AO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0.65768881631328324</v>
      </c>
      <c r="AP30" s="1186" cm="1">
        <f t="array" aca="1" ref="AP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0.6834346585117228</v>
      </c>
      <c r="AQ30" s="825" t="str" cm="1">
        <f t="array" aca="1" ref="AQ30" ca="1">_xlfn.IFS(   Tab_NewTRADER[[#This Row],[Trap_vs_Last]]=SellMorePercentGain,                     MIN(Tab_NewTRADER[[#This Row],[L_Sn]],Tab_NewTRADER[[#This Row],[N]])*(Tab_NewTRADER[[#This Row],[M]]-Tab_NewTRADER[[#This Row],[L_Sp]])*(1-Commission)*Tab_NewTRADER[[#This Row],[Scale]],                    TRUE,"")</f>
        <v/>
      </c>
      <c r="AR30" s="1192">
        <f ca="1">_xlfn.XLOOKUP(Tab_NewTRADER[[#This Row],[ClickTick]],TabCalc[Ticker],TabCalc[Ann%RevLB])</f>
        <v>-0.51943708353700901</v>
      </c>
      <c r="AS30" s="1281">
        <f ca="1">_xlfn.XLOOKUP(Tab_NewTRADER[[#This Row],[ClickTick]],TabCalc[Ticker],TabCalc[Up20])</f>
        <v>0</v>
      </c>
      <c r="AT30" s="310" cm="1">
        <f t="array" aca="1" ref="AT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0.68603465851172285</v>
      </c>
      <c r="AU30" s="825" cm="1">
        <f t="array" aca="1" ref="AU30" ca="1">_xlfn.IFS(         Tab_NewTRADER[[#This Row],[Trap_vs_Last]]=MDown,Tab_NewTRADER[[#This Row],[L_Bn]]*Tab_NewTRADER[[#This Row],[M]]*(-(Tab_NewTRADER[[#This Row],[L_Bp]]+Tab_NewTRADER[[#This Row],[M]])/Tab_NewTRADER[[#This Row],[M]])*(1-Commission)*Tab_NewTRADER[[#This Row],[Scale]],                               TRUE,"")</f>
        <v>50343.765000000007</v>
      </c>
      <c r="AV30" s="1186" cm="1">
        <f t="array" aca="1" ref="AV30" ca="1">_xlfn.IFS(   Tab_NewTRADER[[#This Row],[Trap_vs_Last]]=MUp,Tab_NewTRADER[[#This Row],[TakeGain_A]]-Commission,        Tab_NewTRADER[[#This Row],[Trap_vs_Last]]=MDown,(Tab_NewTRADER[[#This Row],[A]]-Tab_NewTRADER[[#This Row],[M]])/Tab_NewTRADER[[#This Row],[M]]-Commission,                              TRUE,"")</f>
        <v>1.9187185185185187</v>
      </c>
      <c r="AW30" s="825" cm="1">
        <f t="array" aca="1" ref="AW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563973.88549600006</v>
      </c>
      <c r="AX30" s="760" t="str" cm="1">
        <f t="array" aca="1" ref="AX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30" s="736" cm="1">
        <f t="array" aca="1" ref="AY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-16.82</v>
      </c>
      <c r="AZ30" s="765" cm="1">
        <f t="array" aca="1" ref="AZ30" ca="1">_xlfn.IFS(Tab_NewTRADER[[#This Row],[Trap_vs_Last]]=ReSaleGain,"",         Tab_NewTRADER[[#This Row],[Trap_vs_Last]]=MDown, (Tab_NewTRADER[[#This Row],[M]]-Tab_NewTRADER[[#This Row],[A]])/Tab_NewTRADER[[#This Row],[A]]*ComFactor,             TRUE, IFERROR((Tab_NewTRADER[[#This Row],[M]]-Tab_NewTRADER[[#This Row],[A]])/Tab_NewTRADER[[#This Row],[A]]*ComFactor,""))</f>
        <v>-0.65597882539086871</v>
      </c>
      <c r="BA30" s="762" cm="1">
        <f t="array" aca="1" ref="BA30" ca="1">_xlfn.IFS(               Tab_NewTRADER[[#This Row],[Trap_vs_Last]]=NoStock,(Tab_NewTRADER[[#This Row],[L_Sp]]-Tab_NewTRADER[[#This Row],[M]])/Tab_NewTRADER[[#This Row],[M]]-Commission,             Tab_NewTRADER[[#This Row],[A]]&lt;&gt;0,(Tab_NewTRADER[[#This Row],[A]]-Tab_NewTRADER[[#This Row],[M]])/Tab_NewTRADER[[#This Row],[M]]-Commission)</f>
        <v>1.9187185185185187</v>
      </c>
      <c r="BB30" s="324">
        <f ca="1">_xlfn.XLOOKUP(Tab_NewTRADER[[#This Row],[ClickTick]],TabCalc[Ticker],TabCalc[L_Sn])</f>
        <v>1500</v>
      </c>
      <c r="BC30" s="728">
        <f ca="1">_xlfn.XLOOKUP(Tab_NewTRADER[[#This Row],[ClickTick]],TabCalc[Ticker],TabCalc[L_Sp])</f>
        <v>88.24</v>
      </c>
      <c r="BD30" s="764">
        <f ca="1">-IFERROR((Tab_NewTRADER[[#This Row],[M]]-Tab_NewTRADER[[#This Row],[L_Sp]])/Tab_NewTRADER[[#This Row],[L_Sp]],0)</f>
        <v>0.72206482320942889</v>
      </c>
      <c r="BE30" s="729">
        <f ca="1">MIN(Tab_NewTRADER[[#This Row],[L_Sn]],Tab_NewTRADER[[#This Row],[N]])*(Tab_NewTRADER[[#This Row],[M]]-Tab_NewTRADER[[#This Row],[L_Sp]])*(1-Commission)*Tab_NewTRADER[[#This Row],[Scale]]</f>
        <v>-95324.011499999993</v>
      </c>
      <c r="BF30" s="692">
        <f ca="1">Tab_NewTRADER[[#This Row],[L_Sn]]*(Tab_NewTRADER[[#This Row],[Agiotage]]-Tab_NewTRADER[[#This Row],[M]])/(Tab_NewTRADER[[#This Row],[L_Bn]]*Tab_NewTRADER[[#This Row],[M]])</f>
        <v>-0.48426087032030107</v>
      </c>
      <c r="BG30" s="635">
        <f ca="1">IFERROR((Tab_NewTRADER[[#This Row],[M]]-Tab_NewTRADER[[#This Row],[A]])/Tab_NewTRADER[[#This Row],[A]],0)</f>
        <v>-0.65768881631328324</v>
      </c>
      <c r="BH30" s="638" t="str">
        <f ca="1">TEXT(_xlfn.XLOOKUP(Tab_NewTRADER[[#This Row],[ClickTick]],TabCalc[Ticker],TabCalc[NAfter]),"#,#0")&amp;" : "&amp;TEXT(_xlfn.XLOOKUP(Tab_NewTRADER[[#This Row],[ClickTick]],TabCalc[Ticker],TabCalc[NAfter])*(Tab_NewTRADER[[#This Row],[M]]-Tab_NewTRADER[[#This Row],[A]])*(1-Commission)*Tab_NewTRADER[[#This Row],[Scale]],"#,#0$")</f>
        <v>12,000 : -563,974$</v>
      </c>
      <c r="BI30" s="684">
        <f ca="1">_xlfn.XLOOKUP(Tab_NewTRADER[[#This Row],[ClickTick]],TabCalc[[#This Row],[Ticker]],TabCalc[[#This Row],[GL]])*(1-Commission)</f>
        <v>-517552.82487799996</v>
      </c>
      <c r="BJ30" s="684"/>
      <c r="BK30" s="669" t="str">
        <f ca="1">Tab_NewTRADER[[#This Row],[ClickTick]]&amp;": "&amp;_xlfn.XLOOKUP(Tab_NewTRADER[[#This Row],[ClickTick]],TabCalc[Ticker],TabCalc[Pile?])</f>
        <v>MRNA: Pile</v>
      </c>
      <c r="BL30" s="351" t="s">
        <v>1968</v>
      </c>
      <c r="BM30" s="755" t="str" cm="1">
        <f t="array" aca="1" ref="BM30" ca="1">_xlfn.TEXTJOIN("",,INDEX({"M","A","Y"}, _xlfn.SORTBY({1,2,3}, -CHOOSE({1,2,3}, Tab_NewTRADER[[#This Row],[M]], Tab_NewTRADER[[#This Row],[A]], Tab_NewTRADER[[#This Row],[Agiotage]]))))</f>
        <v>AMY</v>
      </c>
      <c r="BN30" s="909" cm="1">
        <f t="array" aca="1" ref="BN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0.68603465851172285</v>
      </c>
      <c r="BO30" s="679" t="e">
        <f ca="1">Tab_NewTRADER[[#This Row],[L_Sn]]*Tab_NewTRADER[[#This Row],[L_Sp]]+Tab_NewTRADER[[#This Row],[SellMore]]*Tab_NewTRADER[[#This Row],[M]]</f>
        <v>#N/A</v>
      </c>
      <c r="BP30" s="679" t="e">
        <f ca="1">INDEX(
  INDEX(TabConsolid[], , _xlfn.XMATCH(Tab_NewTRADER[[#This Row],[ClickTick]]&amp;1, TabConsolid[#Headers])),
  MATCH(
    -Tab_NewTRADER[[#This Row],[M]],
    INDEX(TabConsolid[], , _xlfn.XMATCH(Tab_NewTRADER[[#This Row],[ClickTick]]&amp;2, TabConsolid[#Headers])),
    -1
  )
)</f>
        <v>#N/A</v>
      </c>
      <c r="BQ30" s="679" cm="1">
        <f t="array" aca="1" ref="BQ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R30" s="1156" t="e">
        <f ca="1">Tab_NewTRADER[[#This Row],[ReBuy]]/(Tab_NewTRADER[[#This Row],[L_Sn]]+Tab_NewTRADER[[#This Row],[SellMore]])</f>
        <v>#N/A</v>
      </c>
      <c r="BS30" s="687">
        <f ca="1">((_xlfn.XLOOKUP(Tab_NewTRADER[[#This Row],[ClickTick]],TabCalc[Ticker],TabCalc[NAfter])+Tab_NewTRADER[[#This Row],[L_Sn]])*(Tab_NewTRADER[[#This Row],[Agiotage]]-Tab_NewTRADER[[#This Row],[M]]))/(Tab_NewTRADER[[#This Row],[L_Sn]]*_xlfn.XLOOKUP(Tab_NewTRADER[[#This Row],[ClickTick]],TabCalc[Ticker],TabCalc[NAfter]))</f>
        <v>-1.7814746766908078E-2</v>
      </c>
      <c r="BT30" s="687">
        <f ca="1">(Tab_NewTRADER[[#This Row],[M]]-Tab_NewTRADER[[#This Row],[Agiotage]])/(Tab_NewTRADER[[#This Row],[M]]-Tab_NewTRADER[[#This Row],[A]])-1</f>
        <v>-1.5040922321341106</v>
      </c>
      <c r="BU30" s="1277">
        <f ca="1">_xlfn.XMATCH(Tab_NewTRADER[[#This Row],[ClickTick]]&amp;1, TabConsolid[#Headers])</f>
        <v>83</v>
      </c>
      <c r="BV30" t="str">
        <f ca="1">IF(ABS(Tab_NewTRADER[[#This Row],[L_Bp]])&gt;=Tab_NewTRADER[[#This Row],[M]],"OK")</f>
        <v>OK</v>
      </c>
    </row>
    <row r="31" spans="1:74"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-2,430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190</v>
      </c>
      <c r="F31" s="226" t="str">
        <f ca="1">TRUNC(TabCalc[[#This Row],[L_B1p]],2)&amp;"x"&amp;TabCalc[[#This Row],[L_B1n]]&amp;"=   "&amp;TEXT(TabCalc[[#This Row],[ReverseS1]],"#,#0")&amp;"$"</f>
        <v>-378.43x150=   17,880$</v>
      </c>
      <c r="G31" s="225" t="str">
        <f ca="1">IFERROR(TRUNC(_xlfn.XLOOKUP(Tab_NewTRADER[[#This Row],[ClickTick]],TabCalc[Ticker],ListLastSalep),2)&amp;"x"&amp;_xlfn.XLOOKUP(Tab_NewTRADER[[#This Row],[ClickTick]],TabCalc[Ticker],ListLastSalen)&amp;"=   "&amp;TEXT(-_xlfn.XLOOKUP(Tab_NewTRADER[[#This Row],[ClickTick]],TabCalc[Ticker],ListReverseB),"#,#0")&amp;"$","")</f>
        <v>523.92x150=   -3,943$</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190</v>
      </c>
      <c r="I31" s="226" t="str">
        <f ca="1">IFERROR(TRUNC(TabCalc[[#This Row],[L_S1p]],2)&amp;"x"&amp;TabCalc[[#This Row],[L_S1n]]&amp;"=   "&amp;TEXT(TabCalc[[#This Row],[ReverseB1]],"#,#0"),"")</f>
        <v>515.24x200=   3,523</v>
      </c>
      <c r="J31" s="295">
        <f ca="1">_xlfn.XLOOKUP(Tab_NewTRADER[[#This Row],[ClickTick]],TabCalc[Ticker],ListGravity)</f>
        <v>1.2584180214215379</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0.80134100862322255</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-3.152793725551261E-2</v>
      </c>
      <c r="S31" s="683">
        <f ca="1">_xlfn.XLOOKUP(Tab_NewTRADER[[#This Row],[ClickTick]],TabCalc[Ticker],TabCalc[Rev(MinStock)])*(1-Commission)</f>
        <v>-2423.6820000000066</v>
      </c>
      <c r="T31" s="782">
        <f ca="1">_xlfn.XLOOKUP(Tab_NewTRADER[[#This Row],[ClickTick]],TabCalc[Ticker],TabCalc[Agiotage])</f>
        <v>0.80134100862322255</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6,174/6,174=&gt;0.1% / 0.1%</v>
      </c>
      <c r="V31" s="739" t="str">
        <f ca="1">_xlfn.XLOOKUP(Tab_NewTRADER[[#This Row],[ClickTick]],[1]!RTData[Ticker_Symbol],[1]!RTData[Currency])</f>
        <v>USD</v>
      </c>
      <c r="W31" s="749">
        <f ca="1">_xlfn.XLOOKUP(Tab_NewTRADER[[#This Row],[ClickTick]],TabCalc[Ticker],TabCalc[M])</f>
        <v>497.63</v>
      </c>
      <c r="X31" s="1343"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^3,962 / 4,877 K$</v>
      </c>
      <c r="AE31" s="1195" t="str" cm="1">
        <f t="array" aca="1" ref="AE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1" s="1177" t="str" cm="1">
        <f t="array" aca="1" ref="AF31" ca="1">_xlfn.IFS(       Tab_NewTRADER[[#This Row],[Trap_vs_Last]]=RePurchaseGain,TEXT(Tab_NewTRADER[[#This Row],[L_Sn]],"#,#0")&amp;" x "&amp;TEXT(Tab_NewTRADER[[#This Row],[L_Sp]],"#,#0.#0"),     Tab_NewTRADER[[#This Row],[Trap_vs_Last]]=ReSaleGain,Tab_NewTRADER[[#This Row],[ToSell]],               TRUE,"")</f>
        <v/>
      </c>
      <c r="AG31" s="1177" t="str" cm="1">
        <f t="array" aca="1" ref="AG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H31" s="1370" t="str">
        <f ca="1">TEXT(MIN(Tab_NewTRADER[[#This Row],[L_Bn]],Tab_NewTRADER[[#This Row],[N]]),"#,#0")&amp;" x "&amp;TEXT(Tab_NewTRADER[[#This Row],[L_Bp]],"#,#0.#0")</f>
        <v>150 x -513.83</v>
      </c>
      <c r="AI31" s="1370">
        <f ca="1">IF(Tab_NewTRADER[[#This Row],[M]]&lt;_xlfn.XLOOKUP(Tab_NewTRADER[[#This Row],[ClickTick]],TabCalc[Ticker],TabCalc[Max_Buy_P]), 0,Tab_NewTRADER[[#This Row],[Sale_Back_$]])</f>
        <v>0</v>
      </c>
      <c r="AJ31" s="1370" t="str">
        <f ca="1">TEXT(Tab_NewTRADER[[#This Row],[L_Sn]],"#,#0")&amp;" ("&amp;Tab_NewTRADER[[#This Row],[M]]&amp;"/"&amp;TEXT(Tab_NewTRADER[[#This Row],[L_Sp]],"#,#0.#0)")</f>
        <v>150 (497.63/523.92)</v>
      </c>
      <c r="AK31" s="1370">
        <f ca="1">IF(Tab_NewTRADER[[#This Row],[M]]&lt;_xlfn.XLOOKUP(Tab_NewTRADER[[#This Row],[ClickTick]],TabCalc[Ticker],TabCalc[Max_Buy_P]), -Tab_NewTRADER[[#This Row],[Buy_Back]], 0)</f>
        <v>3933.2468999999942</v>
      </c>
      <c r="AL31" s="1177" cm="1">
        <f t="array" aca="1" ref="AL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2423.6820000000066</v>
      </c>
      <c r="AM31" s="1177">
        <f ca="1">Tab_NewTRADER[[#This Row],[N]]*(Tab_NewTRADER[[#This Row],[M]]-Tab_NewTRADER[[#This Row],[A]])*(1-Commission)*Tab_NewTRADER[[#This Row],[Scale]]</f>
        <v>1599590.6229599998</v>
      </c>
      <c r="AN31" s="1177">
        <f ca="1">Tab_NewTRADER[[#This Row],[M]]*Tab_NewTRADER[[#This Row],[N]]*(1-Commission)*Tab_NewTRADER[[#This Row],[Scale]]</f>
        <v>4864094.3876</v>
      </c>
      <c r="AO31" s="1186" cm="1">
        <f t="array" aca="1" ref="AO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-0.48999503087918733</v>
      </c>
      <c r="AP31" s="1186" cm="1">
        <f t="array" aca="1" ref="AP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2.9954307417157419E-2</v>
      </c>
      <c r="AQ31" s="825" t="str" cm="1">
        <f t="array" aca="1" ref="AQ31" ca="1">_xlfn.IFS(   Tab_NewTRADER[[#This Row],[Trap_vs_Last]]=SellMorePercentGain,                     MIN(Tab_NewTRADER[[#This Row],[L_Sn]],Tab_NewTRADER[[#This Row],[N]])*(Tab_NewTRADER[[#This Row],[M]]-Tab_NewTRADER[[#This Row],[L_Sp]])*(1-Commission)*Tab_NewTRADER[[#This Row],[Scale]],                    TRUE,"")</f>
        <v/>
      </c>
      <c r="AR31" s="1192">
        <f ca="1">_xlfn.XLOOKUP(Tab_NewTRADER[[#This Row],[ClickTick]],TabCalc[Ticker],TabCalc[Ann%RevLB])</f>
        <v>-0.45400229647938156</v>
      </c>
      <c r="AS31" s="1281">
        <f ca="1">_xlfn.XLOOKUP(Tab_NewTRADER[[#This Row],[ClickTick]],TabCalc[Ticker],TabCalc[Up20])</f>
        <v>0</v>
      </c>
      <c r="AT31" s="1187" cm="1">
        <f t="array" aca="1" ref="AT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3.2554307417157417E-2</v>
      </c>
      <c r="AU31" s="825" cm="1">
        <f t="array" aca="1" ref="AU31" ca="1">_xlfn.IFS(         Tab_NewTRADER[[#This Row],[Trap_vs_Last]]=MDown,Tab_NewTRADER[[#This Row],[L_Bn]]*Tab_NewTRADER[[#This Row],[M]]*(-(Tab_NewTRADER[[#This Row],[L_Bp]]+Tab_NewTRADER[[#This Row],[M]])/Tab_NewTRADER[[#This Row],[M]])*(1-Commission)*Tab_NewTRADER[[#This Row],[Scale]],                               TRUE,"")</f>
        <v>2423.6820000000066</v>
      </c>
      <c r="AV31" s="1186" cm="1">
        <f t="array" aca="1" ref="AV31" ca="1">_xlfn.IFS(   Tab_NewTRADER[[#This Row],[Trap_vs_Last]]=MUp,Tab_NewTRADER[[#This Row],[TakeGain_A]]-Commission,        Tab_NewTRADER[[#This Row],[Trap_vs_Last]]=MDown,(Tab_NewTRADER[[#This Row],[A]]-Tab_NewTRADER[[#This Row],[M]])/Tab_NewTRADER[[#This Row],[M]]-Commission,                              TRUE,"")</f>
        <v>-0.33145682215333333</v>
      </c>
      <c r="AW31" s="760" cm="1">
        <f t="array" aca="1" ref="AW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-1599590.6229599998</v>
      </c>
      <c r="AX31" s="760" t="str" cm="1">
        <f t="array" aca="1" ref="AX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31" s="736" cm="1">
        <f t="array" aca="1" ref="AY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-16.2</v>
      </c>
      <c r="AZ31" s="765" cm="1">
        <f t="array" aca="1" ref="AZ31" ca="1">_xlfn.IFS(Tab_NewTRADER[[#This Row],[Trap_vs_Last]]=ReSaleGain,"",         Tab_NewTRADER[[#This Row],[Trap_vs_Last]]=MDown, (Tab_NewTRADER[[#This Row],[M]]-Tab_NewTRADER[[#This Row],[A]])/Tab_NewTRADER[[#This Row],[A]]*ComFactor,             TRUE, IFERROR((Tab_NewTRADER[[#This Row],[M]]-Tab_NewTRADER[[#This Row],[A]])/Tab_NewTRADER[[#This Row],[A]]*ComFactor,""))</f>
        <v>0.48872104379890141</v>
      </c>
      <c r="BA31" s="762" cm="1">
        <f t="array" aca="1" ref="BA31" ca="1">_xlfn.IFS(               Tab_NewTRADER[[#This Row],[Trap_vs_Last]]=NoStock,(Tab_NewTRADER[[#This Row],[L_Sp]]-Tab_NewTRADER[[#This Row],[M]])/Tab_NewTRADER[[#This Row],[M]]-Commission,             Tab_NewTRADER[[#This Row],[A]]&lt;&gt;0,(Tab_NewTRADER[[#This Row],[A]]-Tab_NewTRADER[[#This Row],[M]])/Tab_NewTRADER[[#This Row],[M]]-Commission)</f>
        <v>-0.33145682215333333</v>
      </c>
      <c r="BB31" s="324">
        <f ca="1">_xlfn.XLOOKUP(Tab_NewTRADER[[#This Row],[ClickTick]],TabCalc[Ticker],TabCalc[L_Sn])</f>
        <v>150</v>
      </c>
      <c r="BC31" s="728">
        <f ca="1">_xlfn.XLOOKUP(Tab_NewTRADER[[#This Row],[ClickTick]],TabCalc[Ticker],TabCalc[L_Sp])</f>
        <v>523.91999999999996</v>
      </c>
      <c r="BD31" s="764">
        <f ca="1">-IFERROR((Tab_NewTRADER[[#This Row],[M]]-Tab_NewTRADER[[#This Row],[L_Sp]])/Tab_NewTRADER[[#This Row],[L_Sp]],0)</f>
        <v>5.0179416704840371E-2</v>
      </c>
      <c r="BE31" s="729">
        <f ca="1">MIN(Tab_NewTRADER[[#This Row],[L_Sn]],Tab_NewTRADER[[#This Row],[N]])*(Tab_NewTRADER[[#This Row],[M]]-Tab_NewTRADER[[#This Row],[L_Sp]])*(1-Commission)*Tab_NewTRADER[[#This Row],[Scale]]</f>
        <v>-3933.2468999999942</v>
      </c>
      <c r="BF31" s="692">
        <f ca="1">Tab_NewTRADER[[#This Row],[L_Sn]]*(Tab_NewTRADER[[#This Row],[Agiotage]]-Tab_NewTRADER[[#This Row],[M]])/(Tab_NewTRADER[[#This Row],[L_Bn]]*Tab_NewTRADER[[#This Row],[M]])</f>
        <v>-0.99838968509008053</v>
      </c>
      <c r="BG31" s="635">
        <f ca="1">IFERROR((Tab_NewTRADER[[#This Row],[M]]-Tab_NewTRADER[[#This Row],[A]])/Tab_NewTRADER[[#This Row],[A]],0)</f>
        <v>0.48999503087918733</v>
      </c>
      <c r="BH31" s="638" t="str">
        <f ca="1">TEXT(_xlfn.XLOOKUP(Tab_NewTRADER[[#This Row],[ClickTick]],TabCalc[Ticker],TabCalc[NAfter]),"#,#0")&amp;" : "&amp;TEXT(_xlfn.XLOOKUP(Tab_NewTRADER[[#This Row],[ClickTick]],TabCalc[Ticker],TabCalc[NAfter])*(Tab_NewTRADER[[#This Row],[M]]-Tab_NewTRADER[[#This Row],[A]])*(1-Commission)*Tab_NewTRADER[[#This Row],[Scale]],"#,#0$")</f>
        <v>9,800 : 1,599,591$</v>
      </c>
      <c r="BI31" s="684">
        <f ca="1">_xlfn.XLOOKUP(Tab_NewTRADER[[#This Row],[ClickTick]],TabCalc[[#This Row],[Ticker]],TabCalc[[#This Row],[GL]])*(1-Commission)</f>
        <v>3952021.5187439998</v>
      </c>
      <c r="BJ31" s="684"/>
      <c r="BK31" s="669" t="str">
        <f ca="1">Tab_NewTRADER[[#This Row],[ClickTick]]&amp;": "&amp;_xlfn.XLOOKUP(Tab_NewTRADER[[#This Row],[ClickTick]],TabCalc[Ticker],TabCalc[Pile?])</f>
        <v xml:space="preserve">MSFT: </v>
      </c>
      <c r="BL31" s="351" t="s">
        <v>2000</v>
      </c>
      <c r="BM31" s="755" t="str" cm="1">
        <f t="array" aca="1" ref="BM31" ca="1">_xlfn.TEXTJOIN("",,INDEX({"M","A","Y"}, _xlfn.SORTBY({1,2,3}, -CHOOSE({1,2,3}, Tab_NewTRADER[[#This Row],[M]], Tab_NewTRADER[[#This Row],[A]], Tab_NewTRADER[[#This Row],[Agiotage]]))))</f>
        <v>MAY</v>
      </c>
      <c r="BN31" s="909" cm="1">
        <f t="array" aca="1" ref="BN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3.2554307417157417E-2</v>
      </c>
      <c r="BO31" s="679">
        <f ca="1">Tab_NewTRADER[[#This Row],[L_Sn]]*Tab_NewTRADER[[#This Row],[L_Sp]]+Tab_NewTRADER[[#This Row],[SellMore]]*Tab_NewTRADER[[#This Row],[M]]</f>
        <v>1073848</v>
      </c>
      <c r="BP31" s="679">
        <f ca="1">INDEX(
  INDEX(TabConsolid[], , _xlfn.XMATCH(Tab_NewTRADER[[#This Row],[ClickTick]]&amp;1, TabConsolid[#Headers])),
  MATCH(
    -Tab_NewTRADER[[#This Row],[M]],
    INDEX(TabConsolid[], , _xlfn.XMATCH(Tab_NewTRADER[[#This Row],[ClickTick]]&amp;2, TabConsolid[#Headers])),
    -1
  )
)</f>
        <v>2000</v>
      </c>
      <c r="BQ31" s="679" cm="1">
        <f t="array" aca="1" ref="BQ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R31" s="1156">
        <f ca="1">Tab_NewTRADER[[#This Row],[ReBuy]]/(Tab_NewTRADER[[#This Row],[L_Sn]]+Tab_NewTRADER[[#This Row],[SellMore]])</f>
        <v>499.4641860465116</v>
      </c>
      <c r="BS31" s="687">
        <f ca="1">((_xlfn.XLOOKUP(Tab_NewTRADER[[#This Row],[ClickTick]],TabCalc[Ticker],TabCalc[NAfter])+Tab_NewTRADER[[#This Row],[L_Sn]])*(Tab_NewTRADER[[#This Row],[Agiotage]]-Tab_NewTRADER[[#This Row],[M]]))/(Tab_NewTRADER[[#This Row],[L_Sn]]*_xlfn.XLOOKUP(Tab_NewTRADER[[#This Row],[ClickTick]],TabCalc[Ticker],TabCalc[NAfter]))</f>
        <v>-3.3628878618804072</v>
      </c>
      <c r="BT31" s="687">
        <f ca="1">(Tab_NewTRADER[[#This Row],[M]]-Tab_NewTRADER[[#This Row],[Agiotage]])/(Tab_NewTRADER[[#This Row],[M]]-Tab_NewTRADER[[#This Row],[A]])-1</f>
        <v>2.0359403175907649</v>
      </c>
      <c r="BU31" s="1277">
        <f ca="1">_xlfn.XMATCH(Tab_NewTRADER[[#This Row],[ClickTick]]&amp;1, TabConsolid[#Headers])</f>
        <v>86</v>
      </c>
      <c r="BV31" t="str">
        <f ca="1">IF(ABS(Tab_NewTRADER[[#This Row],[L_Bp]])&gt;=Tab_NewTRADER[[#This Row],[M]],"OK")</f>
        <v>OK</v>
      </c>
    </row>
    <row r="32" spans="1:74"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15.2%</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734$</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0</v>
      </c>
      <c r="I32" s="226" t="str">
        <f ca="1">IFERROR(TRUNC(TabCalc[[#This Row],[L_S1p]],2)&amp;"x"&amp;TabCalc[[#This Row],[L_S1n]]&amp;"=   "&amp;TEXT(TabCalc[[#This Row],[ReverseB1]],"#,#0"),"")</f>
        <v>84.7x300=   299</v>
      </c>
      <c r="J32" s="295">
        <f ca="1">_xlfn.XLOOKUP(Tab_NewTRADER[[#This Row],[ClickTick]],TabCalc[Ticker],ListGravity)</f>
        <v>1.0870863696093658</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0.69580457722675726</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0.17900672816928745</v>
      </c>
      <c r="S32" s="683">
        <f ca="1">_xlfn.XLOOKUP(Tab_NewTRADER[[#This Row],[ClickTick]],TabCalc[Ticker],TabCalc[Rev(MinStock)])*(1-Commission)</f>
        <v>12.676512151799988</v>
      </c>
      <c r="T32" s="782">
        <f ca="1">_xlfn.XLOOKUP(Tab_NewTRADER[[#This Row],[ClickTick]],TabCalc[Ticker],TabCalc[Agiotage])</f>
        <v>0.69580457722675726</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2/2=&gt;2.1% / 2.1%</v>
      </c>
      <c r="V32" s="739" t="str">
        <f ca="1">_xlfn.XLOOKUP(Tab_NewTRADER[[#This Row],[ClickTick]],[1]!RTData[Ticker_Symbol],[1]!RTData[Currency])</f>
        <v>USD</v>
      </c>
      <c r="W32" s="749">
        <f ca="1">_xlfn.XLOOKUP(Tab_NewTRADER[[#This Row],[ClickTick]],TabCalc[Ticker],TabCalc[M])</f>
        <v>83.71</v>
      </c>
      <c r="X32" s="1343"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E32" s="1195" t="str" cm="1">
        <f t="array" aca="1" ref="AE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2" s="1177" t="str" cm="1">
        <f t="array" aca="1" ref="AF32" ca="1">_xlfn.IFS(       Tab_NewTRADER[[#This Row],[Trap_vs_Last]]=RePurchaseGain,TEXT(Tab_NewTRADER[[#This Row],[L_Sn]],"#,#0")&amp;" x "&amp;TEXT(Tab_NewTRADER[[#This Row],[L_Sp]],"#,#0.#0"),     Tab_NewTRADER[[#This Row],[Trap_vs_Last]]=ReSaleGain,Tab_NewTRADER[[#This Row],[ToSell]],               TRUE,"")</f>
        <v/>
      </c>
      <c r="AG32" s="1177" t="str" cm="1">
        <f t="array" aca="1" ref="AG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H32" s="1370" t="str">
        <f ca="1">TEXT(MIN(Tab_NewTRADER[[#This Row],[L_Bn]],Tab_NewTRADER[[#This Row],[N]]),"#,#0")&amp;" x "&amp;TEXT(Tab_NewTRADER[[#This Row],[L_Bp]],"#,#0.#0")</f>
        <v>1 x -71.0</v>
      </c>
      <c r="AI32" s="1370">
        <f ca="1">IF(Tab_NewTRADER[[#This Row],[M]]&lt;_xlfn.XLOOKUP(Tab_NewTRADER[[#This Row],[ClickTick]],TabCalc[Ticker],TabCalc[Max_Buy_P]), 0,Tab_NewTRADER[[#This Row],[Sale_Back_$]])</f>
        <v>12.676512151799988</v>
      </c>
      <c r="AJ32" s="1370" t="str">
        <f ca="1">TEXT(Tab_NewTRADER[[#This Row],[L_Sn]],"#,#0")&amp;" ("&amp;Tab_NewTRADER[[#This Row],[M]]&amp;"/"&amp;TEXT(Tab_NewTRADER[[#This Row],[L_Sp]],"#,#0.#0)")</f>
        <v>399 (83.71/81.87)</v>
      </c>
      <c r="AK32" s="1370">
        <f ca="1">IF(Tab_NewTRADER[[#This Row],[M]]&lt;_xlfn.XLOOKUP(Tab_NewTRADER[[#This Row],[ClickTick]],TabCalc[Ticker],TabCalc[Max_Buy_P]), -Tab_NewTRADER[[#This Row],[Buy_Back]], 0)</f>
        <v>0</v>
      </c>
      <c r="AL32" s="1177" cm="1">
        <f t="array" aca="1" ref="AL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1.8352159999999891</v>
      </c>
      <c r="AM32" s="1177">
        <f ca="1">Tab_NewTRADER[[#This Row],[N]]*(Tab_NewTRADER[[#This Row],[M]]-Tab_NewTRADER[[#This Row],[A]])*(1-Commission)*Tab_NewTRADER[[#This Row],[Scale]]</f>
        <v>12.676512151799988</v>
      </c>
      <c r="AN32" s="1177">
        <f ca="1">Tab_NewTRADER[[#This Row],[M]]*Tab_NewTRADER[[#This Row],[N]]*(1-Commission)*Tab_NewTRADER[[#This Row],[Scale]]</f>
        <v>83.492353999999992</v>
      </c>
      <c r="AO32" s="1186" cm="1">
        <f t="array" aca="1" ref="AO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0.17900672816928745</v>
      </c>
      <c r="AP32" s="1186" cm="1">
        <f t="array" aca="1" ref="AP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1.9380647473420012E-2</v>
      </c>
      <c r="AQ32" s="825" cm="1">
        <f t="array" aca="1" ref="AQ32" ca="1">_xlfn.IFS(   Tab_NewTRADER[[#This Row],[Trap_vs_Last]]=SellMorePercentGain,                     MIN(Tab_NewTRADER[[#This Row],[L_Sn]],Tab_NewTRADER[[#This Row],[N]])*(Tab_NewTRADER[[#This Row],[M]]-Tab_NewTRADER[[#This Row],[L_Sp]])*(1-Commission)*Tab_NewTRADER[[#This Row],[Scale]],                    TRUE,"")</f>
        <v>1.8352159999999891</v>
      </c>
      <c r="AR32" s="1192">
        <f ca="1">_xlfn.XLOOKUP(Tab_NewTRADER[[#This Row],[ClickTick]],TabCalc[Ticker],TabCalc[Ann%RevLB])</f>
        <v>1.1110762438093704</v>
      </c>
      <c r="AS32" s="1281">
        <f ca="1">_xlfn.XLOOKUP(Tab_NewTRADER[[#This Row],[ClickTick]],TabCalc[Ticker],TabCalc[Up20])</f>
        <v>0</v>
      </c>
      <c r="AT32" s="1187" t="str" cm="1">
        <f t="array" aca="1" ref="AT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2" s="825" t="str" cm="1">
        <f t="array" aca="1" ref="AU32" ca="1">_xlfn.IFS(         Tab_NewTRADER[[#This Row],[Trap_vs_Last]]=MDown,Tab_NewTRADER[[#This Row],[L_Bn]]*Tab_NewTRADER[[#This Row],[M]]*(-(Tab_NewTRADER[[#This Row],[L_Bp]]+Tab_NewTRADER[[#This Row],[M]])/Tab_NewTRADER[[#This Row],[M]])*(1-Commission)*Tab_NewTRADER[[#This Row],[Scale]],                               TRUE,"")</f>
        <v/>
      </c>
      <c r="AV32" s="1186" cm="1">
        <f t="array" aca="1" ref="AV32" ca="1">_xlfn.IFS(   Tab_NewTRADER[[#This Row],[Trap_vs_Last]]=MUp,Tab_NewTRADER[[#This Row],[TakeGain_A]]-Commission,        Tab_NewTRADER[[#This Row],[Trap_vs_Last]]=MDown,(Tab_NewTRADER[[#This Row],[A]]-Tab_NewTRADER[[#This Row],[M]])/Tab_NewTRADER[[#This Row],[M]]-Commission,                              TRUE,"")</f>
        <v>0.17640672816928746</v>
      </c>
      <c r="AW32" s="760" cm="1">
        <f t="array" aca="1" ref="AW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14.945693116691917</v>
      </c>
      <c r="AX32" s="760" t="str" cm="1">
        <f t="array" aca="1" ref="AX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32" s="736" t="str" cm="1">
        <f t="array" aca="1" ref="AY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1x12.7</v>
      </c>
      <c r="AZ32" s="765" cm="1">
        <f t="array" aca="1" ref="AZ32" ca="1">_xlfn.IFS(Tab_NewTRADER[[#This Row],[Trap_vs_Last]]=ReSaleGain,"",         Tab_NewTRADER[[#This Row],[Trap_vs_Last]]=MDown, (Tab_NewTRADER[[#This Row],[M]]-Tab_NewTRADER[[#This Row],[A]])/Tab_NewTRADER[[#This Row],[A]]*ComFactor,             TRUE, IFERROR((Tab_NewTRADER[[#This Row],[M]]-Tab_NewTRADER[[#This Row],[A]])/Tab_NewTRADER[[#This Row],[A]]*ComFactor,""))</f>
        <v>0.17854131067604728</v>
      </c>
      <c r="BA32" s="762" cm="1">
        <f t="array" aca="1" ref="BA32" ca="1">_xlfn.IFS(               Tab_NewTRADER[[#This Row],[Trap_vs_Last]]=NoStock,(Tab_NewTRADER[[#This Row],[L_Sp]]-Tab_NewTRADER[[#This Row],[M]])/Tab_NewTRADER[[#This Row],[M]]-Commission,             Tab_NewTRADER[[#This Row],[A]]&lt;&gt;0,(Tab_NewTRADER[[#This Row],[A]]-Tab_NewTRADER[[#This Row],[M]])/Tab_NewTRADER[[#This Row],[M]]-Commission)</f>
        <v>-0.15442841954366252</v>
      </c>
      <c r="BB32" s="324">
        <f ca="1">_xlfn.XLOOKUP(Tab_NewTRADER[[#This Row],[ClickTick]],TabCalc[Ticker],TabCalc[L_Sn])</f>
        <v>399</v>
      </c>
      <c r="BC32" s="728">
        <f ca="1">_xlfn.XLOOKUP(Tab_NewTRADER[[#This Row],[ClickTick]],TabCalc[Ticker],TabCalc[L_Sp])</f>
        <v>81.87</v>
      </c>
      <c r="BD32" s="764">
        <f ca="1">-IFERROR((Tab_NewTRADER[[#This Row],[M]]-Tab_NewTRADER[[#This Row],[L_Sp]])/Tab_NewTRADER[[#This Row],[L_Sp]],0)</f>
        <v>-2.2474654940759609E-2</v>
      </c>
      <c r="BE32" s="729">
        <f ca="1">MIN(Tab_NewTRADER[[#This Row],[L_Sn]],Tab_NewTRADER[[#This Row],[N]])*(Tab_NewTRADER[[#This Row],[M]]-Tab_NewTRADER[[#This Row],[L_Sp]])*(1-Commission)*Tab_NewTRADER[[#This Row],[Scale]]</f>
        <v>1.8352159999999891</v>
      </c>
      <c r="BF32" s="692">
        <f ca="1">Tab_NewTRADER[[#This Row],[L_Sn]]*(Tab_NewTRADER[[#This Row],[Agiotage]]-Tab_NewTRADER[[#This Row],[M]])/(Tab_NewTRADER[[#This Row],[L_Bn]]*Tab_NewTRADER[[#This Row],[M]])</f>
        <v>-9.8920869590510468E-2</v>
      </c>
      <c r="BG32" s="635">
        <f ca="1">IFERROR((Tab_NewTRADER[[#This Row],[M]]-Tab_NewTRADER[[#This Row],[A]])/Tab_NewTRADER[[#This Row],[A]],0)</f>
        <v>0.17900672816928745</v>
      </c>
      <c r="BH32" s="638" t="str">
        <f ca="1">TEXT(_xlfn.XLOOKUP(Tab_NewTRADER[[#This Row],[ClickTick]],TabCalc[Ticker],TabCalc[NAfter]),"#,#0")&amp;" : "&amp;TEXT(_xlfn.XLOOKUP(Tab_NewTRADER[[#This Row],[ClickTick]],TabCalc[Ticker],TabCalc[NAfter])*(Tab_NewTRADER[[#This Row],[M]]-Tab_NewTRADER[[#This Row],[A]])*(1-Commission)*Tab_NewTRADER[[#This Row],[Scale]],"#,#0$")</f>
        <v>1 : 13$</v>
      </c>
      <c r="BI32" s="684">
        <f ca="1">_xlfn.XLOOKUP(Tab_NewTRADER[[#This Row],[ClickTick]],TabCalc[[#This Row],[Ticker]],TabCalc[[#This Row],[GL]])*(1-Commission)</f>
        <v>66544.395558799981</v>
      </c>
      <c r="BJ32" s="684"/>
      <c r="BK32" s="669" t="str">
        <f ca="1">Tab_NewTRADER[[#This Row],[ClickTick]]&amp;": "&amp;_xlfn.XLOOKUP(Tab_NewTRADER[[#This Row],[ClickTick]],TabCalc[Ticker],TabCalc[Pile?])</f>
        <v xml:space="preserve">NEE: </v>
      </c>
      <c r="BL32" s="351" t="s">
        <v>2056</v>
      </c>
      <c r="BM32" s="755" t="str" cm="1">
        <f t="array" aca="1" ref="BM32" ca="1">_xlfn.TEXTJOIN("",,INDEX({"M","A","Y"}, _xlfn.SORTBY({1,2,3}, -CHOOSE({1,2,3}, Tab_NewTRADER[[#This Row],[M]], Tab_NewTRADER[[#This Row],[A]], Tab_NewTRADER[[#This Row],[Agiotage]]))))</f>
        <v>MAY</v>
      </c>
      <c r="BN32" s="909" cm="1">
        <f t="array" aca="1" ref="BN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2.1980647473420014E-2</v>
      </c>
      <c r="BO32" s="679">
        <f ca="1">Tab_NewTRADER[[#This Row],[L_Sn]]*Tab_NewTRADER[[#This Row],[L_Sp]]+Tab_NewTRADER[[#This Row],[SellMore]]*Tab_NewTRADER[[#This Row],[M]]</f>
        <v>66150.13</v>
      </c>
      <c r="BP32" s="679">
        <f ca="1">INDEX(
  INDEX(TabConsolid[], , _xlfn.XMATCH(Tab_NewTRADER[[#This Row],[ClickTick]]&amp;1, TabConsolid[#Headers])),
  MATCH(
    -Tab_NewTRADER[[#This Row],[M]],
    INDEX(TabConsolid[], , _xlfn.XMATCH(Tab_NewTRADER[[#This Row],[ClickTick]]&amp;2, TabConsolid[#Headers])),
    -1
  )
)</f>
        <v>400</v>
      </c>
      <c r="BQ32" s="679" cm="1">
        <f t="array" aca="1" ref="BQ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2" s="1156">
        <f ca="1">Tab_NewTRADER[[#This Row],[ReBuy]]/(Tab_NewTRADER[[#This Row],[L_Sn]]+Tab_NewTRADER[[#This Row],[SellMore]])</f>
        <v>82.791151439299128</v>
      </c>
      <c r="BS32" s="687">
        <f ca="1">((_xlfn.XLOOKUP(Tab_NewTRADER[[#This Row],[ClickTick]],TabCalc[Ticker],TabCalc[NAfter])+Tab_NewTRADER[[#This Row],[L_Sn]])*(Tab_NewTRADER[[#This Row],[Agiotage]]-Tab_NewTRADER[[#This Row],[M]]))/(Tab_NewTRADER[[#This Row],[L_Sn]]*_xlfn.XLOOKUP(Tab_NewTRADER[[#This Row],[ClickTick]],TabCalc[Ticker],TabCalc[NAfter]))</f>
        <v>-83.222251050399251</v>
      </c>
      <c r="BT32" s="687">
        <f ca="1">(Tab_NewTRADER[[#This Row],[M]]-Tab_NewTRADER[[#This Row],[Agiotage]])/(Tab_NewTRADER[[#This Row],[M]]-Tab_NewTRADER[[#This Row],[A]])-1</f>
        <v>5.5316356362989918</v>
      </c>
      <c r="BU32" s="1277">
        <f ca="1">_xlfn.XMATCH(Tab_NewTRADER[[#This Row],[ClickTick]]&amp;1, TabConsolid[#Headers])</f>
        <v>89</v>
      </c>
      <c r="BV32" t="b">
        <f ca="1">IF(ABS(Tab_NewTRADER[[#This Row],[L_Bp]])&gt;=Tab_NewTRADER[[#This Row],[M]],"OK")</f>
        <v>0</v>
      </c>
    </row>
    <row r="33" spans="1:74"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+8,940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1,119/20,000=93,233</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3,470$</v>
      </c>
      <c r="G33" s="225" t="str">
        <f ca="1">IFERROR(TRUNC(_xlfn.XLOOKUP(Tab_NewTRADER[[#This Row],[ClickTick]],TabCalc[Ticker],ListLastSalep),2)&amp;"x"&amp;_xlfn.XLOOKUP(Tab_NewTRADER[[#This Row],[ClickTick]],TabCalc[Ticker],ListLastSalen)&amp;"=   "&amp;TEXT(-_xlfn.XLOOKUP(Tab_NewTRADER[[#This Row],[ClickTick]],TabCalc[Ticker],ListReverseB),"#,#0")&amp;"$","")</f>
        <v>81.47x2000=   3,760$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33" s="226" t="str">
        <f ca="1">IFERROR(TRUNC(TabCalc[[#This Row],[L_S1p]],2)&amp;"x"&amp;TabCalc[[#This Row],[L_S1n]]&amp;"=   "&amp;TEXT(TabCalc[[#This Row],[ReverseB1]],"#,#0"),"")</f>
        <v>94.22x1000=   10,870</v>
      </c>
      <c r="J33" s="295">
        <f ca="1">_xlfn.XLOOKUP(Tab_NewTRADER[[#This Row],[ClickTick]],TabCalc[Ticker],ListGravity)</f>
        <v>1.2325734853029395</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416750</v>
      </c>
      <c r="M33" s="323">
        <f ca="1">_xlfn.XLOOKUP(Tab_NewTRADER[[#This Row],[ClickTick]],TabCalc[Ticker],TabCalc[Agiotage])</f>
        <v>0.40252538018308653</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5.666835699797159E-2</v>
      </c>
      <c r="S33" s="683">
        <f ca="1">_xlfn.XLOOKUP(Tab_NewTRADER[[#This Row],[ClickTick]],TabCalc[Ticker],TabCalc[Rev(MinStock)])*(1-Commission)</f>
        <v>8916.7559999999976</v>
      </c>
      <c r="T33" s="782">
        <f ca="1">_xlfn.XLOOKUP(Tab_NewTRADER[[#This Row],[ClickTick]],TabCalc[Ticker],TabCalc[Agiotage])</f>
        <v>0.40252538018308653</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1,400/1,400=&gt;1.0% / 1.0%</v>
      </c>
      <c r="V33" s="739" t="str">
        <f ca="1">_xlfn.XLOOKUP(Tab_NewTRADER[[#This Row],[ClickTick]],[1]!RTData[Ticker_Symbol],[1]!RTData[Currency])</f>
        <v>USD</v>
      </c>
      <c r="W33" s="749">
        <f ca="1">_xlfn.XLOOKUP(Tab_NewTRADER[[#This Row],[ClickTick]],TabCalc[Ticker],TabCalc[M])</f>
        <v>83.35</v>
      </c>
      <c r="X33" s="1343"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^1,185 / 1,667 K$</v>
      </c>
      <c r="AE33" s="1195" t="str" cm="1">
        <f t="array" aca="1" ref="AE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3" s="1177" t="str" cm="1">
        <f t="array" aca="1" ref="AF33" ca="1">_xlfn.IFS(       Tab_NewTRADER[[#This Row],[Trap_vs_Last]]=RePurchaseGain,TEXT(Tab_NewTRADER[[#This Row],[L_Sn]],"#,#0")&amp;" x "&amp;TEXT(Tab_NewTRADER[[#This Row],[L_Sp]],"#,#0.#0"),     Tab_NewTRADER[[#This Row],[Trap_vs_Last]]=ReSaleGain,Tab_NewTRADER[[#This Row],[ToSell]],               TRUE,"")</f>
        <v/>
      </c>
      <c r="AG33" s="1177" t="str" cm="1">
        <f t="array" aca="1" ref="AG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H33" s="1370" t="str">
        <f ca="1">TEXT(MIN(Tab_NewTRADER[[#This Row],[L_Bn]],Tab_NewTRADER[[#This Row],[N]]),"#,#0")&amp;" x "&amp;TEXT(Tab_NewTRADER[[#This Row],[L_Bp]],"#,#0.#0")</f>
        <v>2,000 x -78.88</v>
      </c>
      <c r="AI33" s="1370">
        <f ca="1">IF(Tab_NewTRADER[[#This Row],[M]]&lt;_xlfn.XLOOKUP(Tab_NewTRADER[[#This Row],[ClickTick]],TabCalc[Ticker],TabCalc[Max_Buy_P]), 0,Tab_NewTRADER[[#This Row],[Sale_Back_$]])</f>
        <v>0</v>
      </c>
      <c r="AJ33" s="1370" t="str">
        <f ca="1">TEXT(Tab_NewTRADER[[#This Row],[L_Sn]],"#,#0")&amp;" ("&amp;Tab_NewTRADER[[#This Row],[M]]&amp;"/"&amp;TEXT(Tab_NewTRADER[[#This Row],[L_Sp]],"#,#0.#0)")</f>
        <v>2,000 (83.35/81.47)</v>
      </c>
      <c r="AK33" s="1370">
        <f ca="1">IF(Tab_NewTRADER[[#This Row],[M]]&lt;_xlfn.XLOOKUP(Tab_NewTRADER[[#This Row],[ClickTick]],TabCalc[Ticker],TabCalc[Max_Buy_P]), -Tab_NewTRADER[[#This Row],[Buy_Back]], 0)</f>
        <v>-3750.2239999999906</v>
      </c>
      <c r="AL33" s="1177" cm="1">
        <f t="array" aca="1" ref="AL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3750.2239999999906</v>
      </c>
      <c r="AM33" s="760">
        <f ca="1">Tab_NewTRADER[[#This Row],[N]]*(Tab_NewTRADER[[#This Row],[M]]-Tab_NewTRADER[[#This Row],[A]])*(1-Commission)*Tab_NewTRADER[[#This Row],[Scale]]</f>
        <v>418157.86543399998</v>
      </c>
      <c r="AN33" s="760">
        <f ca="1">Tab_NewTRADER[[#This Row],[M]]*Tab_NewTRADER[[#This Row],[N]]*(1-Commission)*Tab_NewTRADER[[#This Row],[Scale]]</f>
        <v>1662665.7999999998</v>
      </c>
      <c r="AO33" s="1186" cm="1">
        <f t="array" aca="1" ref="AO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0.33600257083119772</v>
      </c>
      <c r="AP33" s="1186" cm="1">
        <f t="array" aca="1" ref="AP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1.9955488902219501E-2</v>
      </c>
      <c r="AQ33" s="825" cm="1">
        <f t="array" aca="1" ref="AQ33" ca="1">_xlfn.IFS(   Tab_NewTRADER[[#This Row],[Trap_vs_Last]]=SellMorePercentGain,                     MIN(Tab_NewTRADER[[#This Row],[L_Sn]],Tab_NewTRADER[[#This Row],[N]])*(Tab_NewTRADER[[#This Row],[M]]-Tab_NewTRADER[[#This Row],[L_Sp]])*(1-Commission)*Tab_NewTRADER[[#This Row],[Scale]],                    TRUE,"")</f>
        <v>3750.2239999999906</v>
      </c>
      <c r="AR33" s="1175">
        <f ca="1">_xlfn.XLOOKUP(Tab_NewTRADER[[#This Row],[ClickTick]],TabCalc[Ticker],TabCalc[Ann%RevLB])</f>
        <v>6.800202839756591</v>
      </c>
      <c r="AS33" s="1282">
        <f ca="1">_xlfn.XLOOKUP(Tab_NewTRADER[[#This Row],[ClickTick]],TabCalc[Ticker],TabCalc[Up20])</f>
        <v>0.1111111111111111</v>
      </c>
      <c r="AT33" s="1187" t="str" cm="1">
        <f t="array" aca="1" ref="AT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3" s="825" t="str" cm="1">
        <f t="array" aca="1" ref="AU33" ca="1">_xlfn.IFS(         Tab_NewTRADER[[#This Row],[Trap_vs_Last]]=MDown,Tab_NewTRADER[[#This Row],[L_Bn]]*Tab_NewTRADER[[#This Row],[M]]*(-(Tab_NewTRADER[[#This Row],[L_Bp]]+Tab_NewTRADER[[#This Row],[M]])/Tab_NewTRADER[[#This Row],[M]])*(1-Commission)*Tab_NewTRADER[[#This Row],[Scale]],                               TRUE,"")</f>
        <v/>
      </c>
      <c r="AV33" s="1186" cm="1">
        <f t="array" aca="1" ref="AV33" ca="1">_xlfn.IFS(   Tab_NewTRADER[[#This Row],[Trap_vs_Last]]=MUp,Tab_NewTRADER[[#This Row],[TakeGain_A]]-Commission,        Tab_NewTRADER[[#This Row],[Trap_vs_Last]]=MDown,(Tab_NewTRADER[[#This Row],[A]]-Tab_NewTRADER[[#This Row],[M]])/Tab_NewTRADER[[#This Row],[M]]-Commission,                              TRUE,"")</f>
        <v>0.33340257083119773</v>
      </c>
      <c r="AW33" s="760" cm="1">
        <f t="array" aca="1" ref="AW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558659.98323311005</v>
      </c>
      <c r="AX33" s="760" t="str" cm="1">
        <f t="array" aca="1" ref="AX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Y33" s="736" t="str" cm="1">
        <f t="array" aca="1" ref="AY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2,000x20.96</v>
      </c>
      <c r="AZ33" s="765" cm="1">
        <f t="array" aca="1" ref="AZ33" ca="1">_xlfn.IFS(Tab_NewTRADER[[#This Row],[Trap_vs_Last]]=ReSaleGain,"",         Tab_NewTRADER[[#This Row],[Trap_vs_Last]]=MDown, (Tab_NewTRADER[[#This Row],[M]]-Tab_NewTRADER[[#This Row],[A]])/Tab_NewTRADER[[#This Row],[A]]*ComFactor,             TRUE, IFERROR((Tab_NewTRADER[[#This Row],[M]]-Tab_NewTRADER[[#This Row],[A]])/Tab_NewTRADER[[#This Row],[A]]*ComFactor,""))</f>
        <v>0.33512896414703658</v>
      </c>
      <c r="BA33" s="762" cm="1">
        <f t="array" aca="1" ref="BA33" ca="1">_xlfn.IFS(               Tab_NewTRADER[[#This Row],[Trap_vs_Last]]=NoStock,(Tab_NewTRADER[[#This Row],[L_Sp]]-Tab_NewTRADER[[#This Row],[M]])/Tab_NewTRADER[[#This Row],[M]]-Commission,             Tab_NewTRADER[[#This Row],[A]]&lt;&gt;0,(Tab_NewTRADER[[#This Row],[A]]-Tab_NewTRADER[[#This Row],[M]])/Tab_NewTRADER[[#This Row],[M]]-Commission)</f>
        <v>-0.25409844631073786</v>
      </c>
      <c r="BB33" s="324">
        <f ca="1">_xlfn.XLOOKUP(Tab_NewTRADER[[#This Row],[ClickTick]],TabCalc[Ticker],TabCalc[L_Sn])</f>
        <v>2000</v>
      </c>
      <c r="BC33" s="728">
        <f ca="1">_xlfn.XLOOKUP(Tab_NewTRADER[[#This Row],[ClickTick]],TabCalc[Ticker],TabCalc[L_Sp])</f>
        <v>81.47</v>
      </c>
      <c r="BD33" s="764">
        <f ca="1">-IFERROR((Tab_NewTRADER[[#This Row],[M]]-Tab_NewTRADER[[#This Row],[L_Sp]])/Tab_NewTRADER[[#This Row],[L_Sp]],0)</f>
        <v>-2.3075978887934154E-2</v>
      </c>
      <c r="BE33" s="729">
        <f ca="1">MIN(Tab_NewTRADER[[#This Row],[L_Sn]],Tab_NewTRADER[[#This Row],[N]])*(Tab_NewTRADER[[#This Row],[M]]-Tab_NewTRADER[[#This Row],[L_Sp]])*(1-Commission)*Tab_NewTRADER[[#This Row],[Scale]]</f>
        <v>3750.2239999999906</v>
      </c>
      <c r="BF33" s="692">
        <f ca="1">Tab_NewTRADER[[#This Row],[L_Sn]]*(Tab_NewTRADER[[#This Row],[Agiotage]]-Tab_NewTRADER[[#This Row],[M]])/(Tab_NewTRADER[[#This Row],[L_Bn]]*Tab_NewTRADER[[#This Row],[M]])</f>
        <v>-0.99517066130554166</v>
      </c>
      <c r="BG33" s="635">
        <f ca="1">IFERROR((Tab_NewTRADER[[#This Row],[M]]-Tab_NewTRADER[[#This Row],[A]])/Tab_NewTRADER[[#This Row],[A]],0)</f>
        <v>0.33600257083119772</v>
      </c>
      <c r="BH33" s="638" t="str">
        <f ca="1">TEXT(_xlfn.XLOOKUP(Tab_NewTRADER[[#This Row],[ClickTick]],TabCalc[Ticker],TabCalc[NAfter]),"#,#0")&amp;" : "&amp;TEXT(_xlfn.XLOOKUP(Tab_NewTRADER[[#This Row],[ClickTick]],TabCalc[Ticker],TabCalc[NAfter])*(Tab_NewTRADER[[#This Row],[M]]-Tab_NewTRADER[[#This Row],[A]])*(1-Commission)*Tab_NewTRADER[[#This Row],[Scale]],"#,#0$")</f>
        <v>20,000 : 418,158$</v>
      </c>
      <c r="BI33" s="684">
        <f ca="1">_xlfn.XLOOKUP(Tab_NewTRADER[[#This Row],[ClickTick]],TabCalc[[#This Row],[Ticker]],TabCalc[[#This Row],[GL]])*(1-Commission)</f>
        <v>1182332.851182</v>
      </c>
      <c r="BJ33" s="684"/>
      <c r="BK33" s="669" t="str">
        <f ca="1">Tab_NewTRADER[[#This Row],[ClickTick]]&amp;": "&amp;_xlfn.XLOOKUP(Tab_NewTRADER[[#This Row],[ClickTick]],TabCalc[Ticker],TabCalc[Pile?])</f>
        <v xml:space="preserve">NEM: </v>
      </c>
      <c r="BL33" s="351" t="s">
        <v>2059</v>
      </c>
      <c r="BM33" s="755" t="str" cm="1">
        <f t="array" aca="1" ref="BM33" ca="1">_xlfn.TEXTJOIN("",,INDEX({"M","A","Y"}, _xlfn.SORTBY({1,2,3}, -CHOOSE({1,2,3}, Tab_NewTRADER[[#This Row],[M]], Tab_NewTRADER[[#This Row],[A]], Tab_NewTRADER[[#This Row],[Agiotage]]))))</f>
        <v>MAY</v>
      </c>
      <c r="BN33" s="909" cm="1">
        <f t="array" aca="1" ref="BN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2.2555488902219503E-2</v>
      </c>
      <c r="BO33" s="679">
        <f ca="1">Tab_NewTRADER[[#This Row],[L_Sn]]*Tab_NewTRADER[[#This Row],[L_Sp]]+Tab_NewTRADER[[#This Row],[SellMore]]*Tab_NewTRADER[[#This Row],[M]]</f>
        <v>246290</v>
      </c>
      <c r="BP33" s="679">
        <f ca="1">INDEX(
  INDEX(TabConsolid[], , _xlfn.XMATCH(Tab_NewTRADER[[#This Row],[ClickTick]]&amp;1, TabConsolid[#Headers])),
  MATCH(
    -Tab_NewTRADER[[#This Row],[M]],
    INDEX(TabConsolid[], , _xlfn.XMATCH(Tab_NewTRADER[[#This Row],[ClickTick]]&amp;2, TabConsolid[#Headers])),
    -1
  )
)</f>
        <v>1000</v>
      </c>
      <c r="BQ33" s="679" cm="1">
        <f t="array" aca="1" ref="BQ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33" s="1156">
        <f ca="1">Tab_NewTRADER[[#This Row],[ReBuy]]/(Tab_NewTRADER[[#This Row],[L_Sn]]+Tab_NewTRADER[[#This Row],[SellMore]])</f>
        <v>82.096666666666664</v>
      </c>
      <c r="BS33" s="687">
        <f ca="1">((_xlfn.XLOOKUP(Tab_NewTRADER[[#This Row],[ClickTick]],TabCalc[Ticker],TabCalc[NAfter])+Tab_NewTRADER[[#This Row],[L_Sn]])*(Tab_NewTRADER[[#This Row],[Agiotage]]-Tab_NewTRADER[[#This Row],[M]]))/(Tab_NewTRADER[[#This Row],[L_Sn]]*_xlfn.XLOOKUP(Tab_NewTRADER[[#This Row],[ClickTick]],TabCalc[Ticker],TabCalc[NAfter]))</f>
        <v>-4.5621111040899297E-2</v>
      </c>
      <c r="BT33" s="687">
        <f ca="1">(Tab_NewTRADER[[#This Row],[M]]-Tab_NewTRADER[[#This Row],[Agiotage]])/(Tab_NewTRADER[[#This Row],[M]]-Tab_NewTRADER[[#This Row],[A]])-1</f>
        <v>2.9569654441362343</v>
      </c>
      <c r="BU33" s="1277">
        <f ca="1">_xlfn.XMATCH(Tab_NewTRADER[[#This Row],[ClickTick]]&amp;1, TabConsolid[#Headers])</f>
        <v>92</v>
      </c>
      <c r="BV33" t="b">
        <f ca="1">IF(ABS(Tab_NewTRADER[[#This Row],[L_Bp]])&gt;=Tab_NewTRADER[[#This Row],[M]],"OK")</f>
        <v>0</v>
      </c>
    </row>
    <row r="34" spans="1:74"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+1,185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0.2%</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-1103.56x500=   -2,155$</v>
      </c>
      <c r="G34" s="225" t="str">
        <f ca="1">IFERROR(TRUNC(_xlfn.XLOOKUP(Tab_NewTRADER[[#This Row],[ClickTick]],TabCalc[Ticker],ListLastSalep),2)&amp;"x"&amp;_xlfn.XLOOKUP(Tab_NewTRADER[[#This Row],[ClickTick]],TabCalc[Ticker],ListLastSalen)&amp;"=   "&amp;TEXT(-_xlfn.XLOOKUP(Tab_NewTRADER[[#This Row],[ClickTick]],TabCalc[Ticker],ListReverseB),"#,#0")&amp;"$","")</f>
        <v>1233.56x100=   -13,431$</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12.2% = 37</v>
      </c>
      <c r="I34" s="226" t="str">
        <f ca="1">IFERROR(TRUNC(TabCalc[[#This Row],[L_S1p]],2)&amp;"x"&amp;TabCalc[[#This Row],[L_S1n]]&amp;"=   "&amp;TEXT(TabCalc[[#This Row],[ReverseB1]],"#,#0"),"")</f>
        <v>1235.33x100=   13,608</v>
      </c>
      <c r="J34" s="295">
        <f ca="1">_xlfn.XLOOKUP(Tab_NewTRADER[[#This Row],[ClickTick]],TabCalc[Ticker],ListGravity)</f>
        <v>1.2256748692290198</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0.70146614838085575</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2.1606739114578537E-3</v>
      </c>
      <c r="S34" s="683">
        <f ca="1">_xlfn.XLOOKUP(Tab_NewTRADER[[#This Row],[ClickTick]],TabCalc[Ticker],TabCalc[Rev(MinStock)])*(1-Commission)</f>
        <v>1181.9189999999455</v>
      </c>
      <c r="T34" s="782">
        <f ca="1">_xlfn.XLOOKUP(Tab_NewTRADER[[#This Row],[ClickTick]],TabCalc[Ticker],TabCalc[Agiotage])</f>
        <v>0.70146614838085575</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18,570/18,570=&gt;0.2% / 0.2%</v>
      </c>
      <c r="V34" s="739" t="str">
        <f ca="1">_xlfn.XLOOKUP(Tab_NewTRADER[[#This Row],[ClickTick]],[1]!RTData[Ticker_Symbol],[1]!RTData[Currency])</f>
        <v>USD</v>
      </c>
      <c r="W34" s="749">
        <f ca="1">_xlfn.XLOOKUP(Tab_NewTRADER[[#This Row],[ClickTick]],TabCalc[Ticker],TabCalc[M])</f>
        <v>1099.25</v>
      </c>
      <c r="X34" s="1343"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^1,463 / 3,298 K$</v>
      </c>
      <c r="AE34" s="1195" t="str" cm="1">
        <f t="array" aca="1" ref="AE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34" s="1177" t="str" cm="1">
        <f t="array" aca="1" ref="AF34" ca="1">_xlfn.IFS(       Tab_NewTRADER[[#This Row],[Trap_vs_Last]]=RePurchaseGain,TEXT(Tab_NewTRADER[[#This Row],[L_Sn]],"#,#0")&amp;" x "&amp;TEXT(Tab_NewTRADER[[#This Row],[L_Sp]],"#,#0.#0"),     Tab_NewTRADER[[#This Row],[Trap_vs_Last]]=ReSaleGain,Tab_NewTRADER[[#This Row],[ToSell]],               TRUE,"")</f>
        <v>500 x -1,096.88</v>
      </c>
      <c r="AG34" s="1177" cm="1">
        <f t="array" aca="1" ref="AG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1181.9189999999455</v>
      </c>
      <c r="AH34" s="1370" t="str">
        <f ca="1">TEXT(MIN(Tab_NewTRADER[[#This Row],[L_Bn]],Tab_NewTRADER[[#This Row],[N]]),"#,#0")&amp;" x "&amp;TEXT(Tab_NewTRADER[[#This Row],[L_Bp]],"#,#0.#0")</f>
        <v>500 x -1,096.88</v>
      </c>
      <c r="AI34" s="1370">
        <f ca="1">IF(Tab_NewTRADER[[#This Row],[M]]&lt;_xlfn.XLOOKUP(Tab_NewTRADER[[#This Row],[ClickTick]],TabCalc[Ticker],TabCalc[Max_Buy_P]), 0,Tab_NewTRADER[[#This Row],[Sale_Back_$]])</f>
        <v>0</v>
      </c>
      <c r="AJ34" s="1370" t="str">
        <f ca="1">TEXT(Tab_NewTRADER[[#This Row],[L_Sn]],"#,#0")&amp;" ("&amp;Tab_NewTRADER[[#This Row],[M]]&amp;"/"&amp;TEXT(Tab_NewTRADER[[#This Row],[L_Sp]],"#,#0.#0)")</f>
        <v>100 (1099.25/1,233.56)</v>
      </c>
      <c r="AK34" s="1370">
        <f ca="1">IF(Tab_NewTRADER[[#This Row],[M]]&lt;_xlfn.XLOOKUP(Tab_NewTRADER[[#This Row],[ClickTick]],TabCalc[Ticker],TabCalc[Max_Buy_P]), -Tab_NewTRADER[[#This Row],[Buy_Back]], 0)</f>
        <v>13396.079399999993</v>
      </c>
      <c r="AL34" s="1177" t="str" cm="1">
        <f t="array" aca="1" ref="AL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4" s="1177">
        <f ca="1">Tab_NewTRADER[[#This Row],[N]]*(Tab_NewTRADER[[#This Row],[M]]-Tab_NewTRADER[[#This Row],[A]])*(1-Commission)*Tab_NewTRADER[[#This Row],[Scale]]</f>
        <v>-88823.456999999835</v>
      </c>
      <c r="AN34" s="1177">
        <f ca="1">Tab_NewTRADER[[#This Row],[M]]*Tab_NewTRADER[[#This Row],[N]]*(1-Commission)*Tab_NewTRADER[[#This Row],[Scale]]</f>
        <v>3289175.8499999996</v>
      </c>
      <c r="AO34" s="1186" cm="1">
        <f t="array" aca="1" ref="AO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2.1606739114578537E-3</v>
      </c>
      <c r="AP34" s="1186" t="str" cm="1">
        <f t="array" aca="1" ref="AP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4" s="825" t="str" cm="1">
        <f t="array" aca="1" ref="AQ34" ca="1">_xlfn.IFS(   Tab_NewTRADER[[#This Row],[Trap_vs_Last]]=SellMorePercentGain,                     MIN(Tab_NewTRADER[[#This Row],[L_Sn]],Tab_NewTRADER[[#This Row],[N]])*(Tab_NewTRADER[[#This Row],[M]]-Tab_NewTRADER[[#This Row],[L_Sp]])*(1-Commission)*Tab_NewTRADER[[#This Row],[Scale]],                    TRUE,"")</f>
        <v/>
      </c>
      <c r="AR34" s="1341">
        <f ca="1">_xlfn.XLOOKUP(Tab_NewTRADER[[#This Row],[ClickTick]],TabCalc[Ticker],TabCalc[Ann%RevLB])</f>
        <v>5.5560186294630526E-2</v>
      </c>
      <c r="AS34" s="1282">
        <f ca="1">_xlfn.XLOOKUP(Tab_NewTRADER[[#This Row],[ClickTick]],TabCalc[Ticker],TabCalc[Up20])</f>
        <v>0</v>
      </c>
      <c r="AT34" s="1187" t="str" cm="1">
        <f t="array" aca="1" ref="AT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4" s="825" t="str" cm="1">
        <f t="array" aca="1" ref="AU34" ca="1">_xlfn.IFS(         Tab_NewTRADER[[#This Row],[Trap_vs_Last]]=MDown,Tab_NewTRADER[[#This Row],[L_Bn]]*Tab_NewTRADER[[#This Row],[M]]*(-(Tab_NewTRADER[[#This Row],[L_Bp]]+Tab_NewTRADER[[#This Row],[M]])/Tab_NewTRADER[[#This Row],[M]])*(1-Commission)*Tab_NewTRADER[[#This Row],[Scale]],                               TRUE,"")</f>
        <v/>
      </c>
      <c r="AV34" s="1186" t="str" cm="1">
        <f t="array" aca="1" ref="AV34" ca="1">_xlfn.IFS(   Tab_NewTRADER[[#This Row],[Trap_vs_Last]]=MUp,Tab_NewTRADER[[#This Row],[TakeGain_A]]-Commission,        Tab_NewTRADER[[#This Row],[Trap_vs_Last]]=MDown,(Tab_NewTRADER[[#This Row],[A]]-Tab_NewTRADER[[#This Row],[M]])/Tab_NewTRADER[[#This Row],[M]]-Commission,                              TRUE,"")</f>
        <v/>
      </c>
      <c r="AW34" s="825" cm="1">
        <f t="array" aca="1" ref="AW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-86487.871407343919</v>
      </c>
      <c r="AX34" s="760" t="str" cm="1">
        <f t="array" aca="1" ref="AX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Y34" s="736" t="str" cm="1">
        <f t="array" aca="1" ref="AY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34" s="765" t="str" cm="1">
        <f t="array" aca="1" ref="AZ34" ca="1">_xlfn.IFS(Tab_NewTRADER[[#This Row],[Trap_vs_Last]]=ReSaleGain,"",         Tab_NewTRADER[[#This Row],[Trap_vs_Last]]=MDown, (Tab_NewTRADER[[#This Row],[M]]-Tab_NewTRADER[[#This Row],[A]])/Tab_NewTRADER[[#This Row],[A]]*ComFactor,             TRUE, IFERROR((Tab_NewTRADER[[#This Row],[M]]-Tab_NewTRADER[[#This Row],[A]])/Tab_NewTRADER[[#This Row],[A]]*ComFactor,""))</f>
        <v/>
      </c>
      <c r="BA34" s="762" cm="1">
        <f t="array" aca="1" ref="BA34" ca="1">_xlfn.IFS(               Tab_NewTRADER[[#This Row],[Trap_vs_Last]]=NoStock,(Tab_NewTRADER[[#This Row],[L_Sp]]-Tab_NewTRADER[[#This Row],[M]])/Tab_NewTRADER[[#This Row],[M]]-Commission,             Tab_NewTRADER[[#This Row],[A]]&lt;&gt;0,(Tab_NewTRADER[[#This Row],[A]]-Tab_NewTRADER[[#This Row],[M]])/Tab_NewTRADER[[#This Row],[M]]-Commission)</f>
        <v>2.440477598362515E-2</v>
      </c>
      <c r="BB34" s="324">
        <f ca="1">_xlfn.XLOOKUP(Tab_NewTRADER[[#This Row],[ClickTick]],TabCalc[Ticker],TabCalc[L_Sn])</f>
        <v>100</v>
      </c>
      <c r="BC34" s="728">
        <f ca="1">_xlfn.XLOOKUP(Tab_NewTRADER[[#This Row],[ClickTick]],TabCalc[Ticker],TabCalc[L_Sp])</f>
        <v>1233.56</v>
      </c>
      <c r="BD34" s="764">
        <f ca="1">-IFERROR((Tab_NewTRADER[[#This Row],[M]]-Tab_NewTRADER[[#This Row],[L_Sp]])/Tab_NewTRADER[[#This Row],[L_Sp]],0)</f>
        <v>0.10887998962352861</v>
      </c>
      <c r="BE34" s="729">
        <f ca="1">MIN(Tab_NewTRADER[[#This Row],[L_Sn]],Tab_NewTRADER[[#This Row],[N]])*(Tab_NewTRADER[[#This Row],[M]]-Tab_NewTRADER[[#This Row],[L_Sp]])*(1-Commission)*Tab_NewTRADER[[#This Row],[Scale]]</f>
        <v>-13396.079399999993</v>
      </c>
      <c r="BF34" s="692">
        <f ca="1">Tab_NewTRADER[[#This Row],[L_Sn]]*(Tab_NewTRADER[[#This Row],[Agiotage]]-Tab_NewTRADER[[#This Row],[M]])/(Tab_NewTRADER[[#This Row],[L_Bn]]*Tab_NewTRADER[[#This Row],[M]])</f>
        <v>-0.19987237368235053</v>
      </c>
      <c r="BG34" s="635">
        <f ca="1">IFERROR((Tab_NewTRADER[[#This Row],[M]]-Tab_NewTRADER[[#This Row],[A]])/Tab_NewTRADER[[#This Row],[A]],0)</f>
        <v>-2.6294693671469079E-2</v>
      </c>
      <c r="BH34" s="638" t="str">
        <f ca="1">TEXT(_xlfn.XLOOKUP(Tab_NewTRADER[[#This Row],[ClickTick]],TabCalc[Ticker],TabCalc[NAfter]),"#,#0")&amp;" : "&amp;TEXT(_xlfn.XLOOKUP(Tab_NewTRADER[[#This Row],[ClickTick]],TabCalc[Ticker],TabCalc[NAfter])*(Tab_NewTRADER[[#This Row],[M]]-Tab_NewTRADER[[#This Row],[A]])*(1-Commission)*Tab_NewTRADER[[#This Row],[Scale]],"#,#0$")</f>
        <v>3,000 : -88,823$</v>
      </c>
      <c r="BI34" s="684">
        <f ca="1">_xlfn.XLOOKUP(Tab_NewTRADER[[#This Row],[ClickTick]],TabCalc[[#This Row],[Ticker]],TabCalc[[#This Row],[GL]])*(1-Commission)</f>
        <v>1458876.0246259999</v>
      </c>
      <c r="BJ34" s="684"/>
      <c r="BK34" s="669" t="str">
        <f ca="1">Tab_NewTRADER[[#This Row],[ClickTick]]&amp;": "&amp;_xlfn.XLOOKUP(Tab_NewTRADER[[#This Row],[ClickTick]],TabCalc[Ticker],TabCalc[Pile?])</f>
        <v>NFLX: Pile</v>
      </c>
      <c r="BL34" s="351" t="s">
        <v>1981</v>
      </c>
      <c r="BM34" s="755" t="str" cm="1">
        <f t="array" aca="1" ref="BM34" ca="1">_xlfn.TEXTJOIN("",,INDEX({"M","A","Y"}, _xlfn.SORTBY({1,2,3}, -CHOOSE({1,2,3}, Tab_NewTRADER[[#This Row],[M]], Tab_NewTRADER[[#This Row],[A]], Tab_NewTRADER[[#This Row],[Agiotage]]))))</f>
        <v>AMY</v>
      </c>
      <c r="BN34" s="909" t="str" cm="1">
        <f t="array" aca="1" ref="BN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4" s="679" t="e">
        <f ca="1">Tab_NewTRADER[[#This Row],[L_Sn]]*Tab_NewTRADER[[#This Row],[L_Sp]]+Tab_NewTRADER[[#This Row],[SellMore]]*Tab_NewTRADER[[#This Row],[M]]</f>
        <v>#N/A</v>
      </c>
      <c r="BP34" s="679" t="e">
        <f ca="1">INDEX(
  INDEX(TabConsolid[], , _xlfn.XMATCH(Tab_NewTRADER[[#This Row],[ClickTick]]&amp;1, TabConsolid[#Headers])),
  MATCH(
    -Tab_NewTRADER[[#This Row],[M]],
    INDEX(TabConsolid[], , _xlfn.XMATCH(Tab_NewTRADER[[#This Row],[ClickTick]]&amp;2, TabConsolid[#Headers])),
    -1
  )
)</f>
        <v>#N/A</v>
      </c>
      <c r="BQ34" s="679" cm="1">
        <f t="array" aca="1" ref="BQ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R34" s="1156" t="e">
        <f ca="1">Tab_NewTRADER[[#This Row],[ReBuy]]/(Tab_NewTRADER[[#This Row],[L_Sn]]+Tab_NewTRADER[[#This Row],[SellMore]])</f>
        <v>#N/A</v>
      </c>
      <c r="BS34" s="687">
        <f ca="1">((_xlfn.XLOOKUP(Tab_NewTRADER[[#This Row],[ClickTick]],TabCalc[Ticker],TabCalc[NAfter])+Tab_NewTRADER[[#This Row],[L_Sn]])*(Tab_NewTRADER[[#This Row],[Agiotage]]-Tab_NewTRADER[[#This Row],[M]]))/(Tab_NewTRADER[[#This Row],[L_Sn]]*_xlfn.XLOOKUP(Tab_NewTRADER[[#This Row],[ClickTick]],TabCalc[Ticker],TabCalc[NAfter]))</f>
        <v>-11.351668183133397</v>
      </c>
      <c r="BT34" s="687">
        <f ca="1">(Tab_NewTRADER[[#This Row],[M]]-Tab_NewTRADER[[#This Row],[Agiotage]])/(Tab_NewTRADER[[#This Row],[M]]-Tab_NewTRADER[[#This Row],[A]])-1</f>
        <v>-38.006856454492883</v>
      </c>
      <c r="BU34" s="1277">
        <f ca="1">_xlfn.XMATCH(Tab_NewTRADER[[#This Row],[ClickTick]]&amp;1, TabConsolid[#Headers])</f>
        <v>95</v>
      </c>
      <c r="BV34" t="b">
        <f ca="1">IF(ABS(Tab_NewTRADER[[#This Row],[L_Bp]])&gt;=Tab_NewTRADER[[#This Row],[M]],"OK")</f>
        <v>0</v>
      </c>
    </row>
    <row r="35" spans="1:74"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-5,875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-77.0%</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-164,396$</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10.328222950819674</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1.7209378846883396</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-0.43518518518518523</v>
      </c>
      <c r="S35" s="683">
        <f ca="1">_xlfn.XLOOKUP(Tab_NewTRADER[[#This Row],[ClickTick]],TabCalc[Ticker],TabCalc[Rev(MinStock)])*(1-Commission)</f>
        <v>-5859.7250000000004</v>
      </c>
      <c r="T35" s="782">
        <f ca="1">_xlfn.XLOOKUP(Tab_NewTRADER[[#This Row],[ClickTick]],TabCalc[Ticker],TabCalc[Agiotage])</f>
        <v>1.7209378846883396</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10,133/10,133=&gt;1.7% / 1.7%</v>
      </c>
      <c r="V35" s="739" t="str">
        <f ca="1">_xlfn.XLOOKUP(Tab_NewTRADER[[#This Row],[ClickTick]],[1]!RTData[Ticker_Symbol],[1]!RTData[Currency])</f>
        <v>USD</v>
      </c>
      <c r="W35" s="749">
        <f ca="1">_xlfn.XLOOKUP(Tab_NewTRADER[[#This Row],[ClickTick]],TabCalc[Ticker],TabCalc[M])</f>
        <v>3.05</v>
      </c>
      <c r="X35" s="1343"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-170/81 K$</v>
      </c>
      <c r="AE35" s="1173" t="str" cm="1">
        <f t="array" aca="1" ref="AE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5" s="1177" t="str" cm="1">
        <f t="array" aca="1" ref="AF35" ca="1">_xlfn.IFS(       Tab_NewTRADER[[#This Row],[Trap_vs_Last]]=RePurchaseGain,TEXT(Tab_NewTRADER[[#This Row],[L_Sn]],"#,#0")&amp;" x "&amp;TEXT(Tab_NewTRADER[[#This Row],[L_Sp]],"#,#0.#0"),     Tab_NewTRADER[[#This Row],[Trap_vs_Last]]=ReSaleGain,Tab_NewTRADER[[#This Row],[ToSell]],               TRUE,"")</f>
        <v/>
      </c>
      <c r="AG35" s="1177" t="str" cm="1">
        <f t="array" aca="1" ref="AG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H35" s="1370" t="str">
        <f ca="1">TEXT(MIN(Tab_NewTRADER[[#This Row],[L_Bn]],Tab_NewTRADER[[#This Row],[N]]),"#,#0")&amp;" x "&amp;TEXT(Tab_NewTRADER[[#This Row],[L_Bp]],"#,#0.#0")</f>
        <v>2,500 x -5.40</v>
      </c>
      <c r="AI35" s="1370">
        <f ca="1">IF(Tab_NewTRADER[[#This Row],[M]]&lt;_xlfn.XLOOKUP(Tab_NewTRADER[[#This Row],[ClickTick]],TabCalc[Ticker],TabCalc[Max_Buy_P]), 0,Tab_NewTRADER[[#This Row],[Sale_Back_$]])</f>
        <v>0</v>
      </c>
      <c r="AJ35" s="1370" t="str">
        <f ca="1">TEXT(Tab_NewTRADER[[#This Row],[L_Sn]],"#,#0")&amp;" ("&amp;Tab_NewTRADER[[#This Row],[M]]&amp;"/"&amp;TEXT(Tab_NewTRADER[[#This Row],[L_Sp]],"#,#0.#0)")</f>
        <v>0 (3.05/0.0)</v>
      </c>
      <c r="AK35" s="1370">
        <f ca="1">IF(Tab_NewTRADER[[#This Row],[M]]&lt;_xlfn.XLOOKUP(Tab_NewTRADER[[#This Row],[ClickTick]],TabCalc[Ticker],TabCalc[Max_Buy_P]), -Tab_NewTRADER[[#This Row],[Buy_Back]], 0)</f>
        <v>0</v>
      </c>
      <c r="AL35" s="1177" cm="1">
        <f t="array" aca="1" ref="AL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5859.7250000000004</v>
      </c>
      <c r="AM35" s="1177">
        <f ca="1">Tab_NewTRADER[[#This Row],[N]]*(Tab_NewTRADER[[#This Row],[M]]-Tab_NewTRADER[[#This Row],[A]])*(1-Commission)*Tab_NewTRADER[[#This Row],[Scale]]</f>
        <v>-169828.31285450002</v>
      </c>
      <c r="AN35" s="1177">
        <f ca="1">Tab_NewTRADER[[#This Row],[M]]*Tab_NewTRADER[[#This Row],[N]]*(1-Commission)*Tab_NewTRADER[[#This Row],[Scale]]</f>
        <v>81122.880689999991</v>
      </c>
      <c r="AO35" s="1186" cm="1">
        <f t="array" aca="1" ref="AO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0.67673841457297212</v>
      </c>
      <c r="AP35" s="1186" cm="1">
        <f t="array" aca="1" ref="AP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0.76789180327868867</v>
      </c>
      <c r="AQ35" s="825" t="str" cm="1">
        <f t="array" aca="1" ref="AQ35" ca="1">_xlfn.IFS(   Tab_NewTRADER[[#This Row],[Trap_vs_Last]]=SellMorePercentGain,                     MIN(Tab_NewTRADER[[#This Row],[L_Sn]],Tab_NewTRADER[[#This Row],[N]])*(Tab_NewTRADER[[#This Row],[M]]-Tab_NewTRADER[[#This Row],[L_Sp]])*(1-Commission)*Tab_NewTRADER[[#This Row],[Scale]],                    TRUE,"")</f>
        <v/>
      </c>
      <c r="AR35" s="1175">
        <f ca="1">_xlfn.XLOOKUP(Tab_NewTRADER[[#This Row],[ClickTick]],TabCalc[Ticker],TabCalc[Ann%RevLB])</f>
        <v>-2.4102564102564106</v>
      </c>
      <c r="AS35" s="1282">
        <f ca="1">_xlfn.XLOOKUP(Tab_NewTRADER[[#This Row],[ClickTick]],TabCalc[Ticker],TabCalc[Up20])</f>
        <v>0</v>
      </c>
      <c r="AT35" s="1187" cm="1">
        <f t="array" aca="1" ref="AT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0.77049180327868871</v>
      </c>
      <c r="AU35" s="825" cm="1">
        <f t="array" aca="1" ref="AU35" ca="1">_xlfn.IFS(         Tab_NewTRADER[[#This Row],[Trap_vs_Last]]=MDown,Tab_NewTRADER[[#This Row],[L_Bn]]*Tab_NewTRADER[[#This Row],[M]]*(-(Tab_NewTRADER[[#This Row],[L_Bp]]+Tab_NewTRADER[[#This Row],[M]])/Tab_NewTRADER[[#This Row],[M]])*(1-Commission)*Tab_NewTRADER[[#This Row],[Scale]],                               TRUE,"")</f>
        <v>5859.7250000000013</v>
      </c>
      <c r="AV35" s="1186" cm="1">
        <f t="array" aca="1" ref="AV35" ca="1">_xlfn.IFS(   Tab_NewTRADER[[#This Row],[Trap_vs_Last]]=MUp,Tab_NewTRADER[[#This Row],[TakeGain_A]]-Commission,        Tab_NewTRADER[[#This Row],[Trap_vs_Last]]=MDown,(Tab_NewTRADER[[#This Row],[A]]-Tab_NewTRADER[[#This Row],[M]])/Tab_NewTRADER[[#This Row],[M]]-Commission,                              TRUE,"")</f>
        <v>2.0908699484289235</v>
      </c>
      <c r="AW35" s="760" cm="1">
        <f t="array" aca="1" ref="AW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169828.31285450002</v>
      </c>
      <c r="AX35" s="760" t="str" cm="1">
        <f t="array" aca="1" ref="AX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35" s="736" cm="1">
        <f t="array" aca="1" ref="AY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-2.35</v>
      </c>
      <c r="AZ35" s="765" cm="1">
        <f t="array" aca="1" ref="AZ35" ca="1">_xlfn.IFS(Tab_NewTRADER[[#This Row],[Trap_vs_Last]]=ReSaleGain,"",         Tab_NewTRADER[[#This Row],[Trap_vs_Last]]=MDown, (Tab_NewTRADER[[#This Row],[M]]-Tab_NewTRADER[[#This Row],[A]])/Tab_NewTRADER[[#This Row],[A]]*ComFactor,             TRUE, IFERROR((Tab_NewTRADER[[#This Row],[M]]-Tab_NewTRADER[[#This Row],[A]])/Tab_NewTRADER[[#This Row],[A]]*ComFactor,""))</f>
        <v>-0.67497889469508232</v>
      </c>
      <c r="BA35" s="762" cm="1">
        <f t="array" aca="1" ref="BA35" ca="1">_xlfn.IFS(               Tab_NewTRADER[[#This Row],[Trap_vs_Last]]=NoStock,(Tab_NewTRADER[[#This Row],[L_Sp]]-Tab_NewTRADER[[#This Row],[M]])/Tab_NewTRADER[[#This Row],[M]]-Commission,             Tab_NewTRADER[[#This Row],[A]]&lt;&gt;0,(Tab_NewTRADER[[#This Row],[A]]-Tab_NewTRADER[[#This Row],[M]])/Tab_NewTRADER[[#This Row],[M]]-Commission)</f>
        <v>2.0908699484289235</v>
      </c>
      <c r="BB35" s="324">
        <f ca="1">_xlfn.XLOOKUP(Tab_NewTRADER[[#This Row],[ClickTick]],TabCalc[Ticker],TabCalc[L_Sn])</f>
        <v>0</v>
      </c>
      <c r="BC35" s="728">
        <f ca="1">_xlfn.XLOOKUP(Tab_NewTRADER[[#This Row],[ClickTick]],TabCalc[Ticker],TabCalc[L_Sp])</f>
        <v>0</v>
      </c>
      <c r="BD35" s="764">
        <f ca="1">-IFERROR((Tab_NewTRADER[[#This Row],[M]]-Tab_NewTRADER[[#This Row],[L_Sp]])/Tab_NewTRADER[[#This Row],[L_Sp]],0)</f>
        <v>0</v>
      </c>
      <c r="BE35" s="729">
        <f ca="1">MIN(Tab_NewTRADER[[#This Row],[L_Sn]],Tab_NewTRADER[[#This Row],[N]])*(Tab_NewTRADER[[#This Row],[M]]-Tab_NewTRADER[[#This Row],[L_Sp]])*(1-Commission)*Tab_NewTRADER[[#This Row],[Scale]]</f>
        <v>0</v>
      </c>
      <c r="BF35" s="692">
        <f ca="1">Tab_NewTRADER[[#This Row],[L_Sn]]*(Tab_NewTRADER[[#This Row],[Agiotage]]-Tab_NewTRADER[[#This Row],[M]])/(Tab_NewTRADER[[#This Row],[L_Bn]]*Tab_NewTRADER[[#This Row],[M]])</f>
        <v>0</v>
      </c>
      <c r="BG35" s="635">
        <f ca="1">IFERROR((Tab_NewTRADER[[#This Row],[M]]-Tab_NewTRADER[[#This Row],[A]])/Tab_NewTRADER[[#This Row],[A]],0)</f>
        <v>-0.67673841457297212</v>
      </c>
      <c r="BH35" s="638" t="str">
        <f ca="1">TEXT(_xlfn.XLOOKUP(Tab_NewTRADER[[#This Row],[ClickTick]],TabCalc[Ticker],TabCalc[NAfter]),"#,#0")&amp;" : "&amp;TEXT(_xlfn.XLOOKUP(Tab_NewTRADER[[#This Row],[ClickTick]],TabCalc[Ticker],TabCalc[NAfter])*(Tab_NewTRADER[[#This Row],[M]]-Tab_NewTRADER[[#This Row],[A]])*(1-Commission)*Tab_NewTRADER[[#This Row],[Scale]],"#,#0$")</f>
        <v>26,667 : -169,828$</v>
      </c>
      <c r="BI35" s="684">
        <f ca="1">_xlfn.XLOOKUP(Tab_NewTRADER[[#This Row],[ClickTick]],TabCalc[[#This Row],[Ticker]],TabCalc[[#This Row],[GL]])*(1-Commission)</f>
        <v>-169828.31285450002</v>
      </c>
      <c r="BJ35" s="684"/>
      <c r="BK35" s="669" t="str">
        <f ca="1">Tab_NewTRADER[[#This Row],[ClickTick]]&amp;": "&amp;_xlfn.XLOOKUP(Tab_NewTRADER[[#This Row],[ClickTick]],TabCalc[Ticker],TabCalc[Pile?])</f>
        <v>NOTE: Pile</v>
      </c>
      <c r="BL35" s="351" t="s">
        <v>2002</v>
      </c>
      <c r="BM35" s="755" t="str" cm="1">
        <f t="array" aca="1" ref="BM35" ca="1">_xlfn.TEXTJOIN("",,INDEX({"M","A","Y"}, _xlfn.SORTBY({1,2,3}, -CHOOSE({1,2,3}, Tab_NewTRADER[[#This Row],[M]], Tab_NewTRADER[[#This Row],[A]], Tab_NewTRADER[[#This Row],[Agiotage]]))))</f>
        <v>AMY</v>
      </c>
      <c r="BN35" s="909" cm="1">
        <f t="array" aca="1" ref="BN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0.77049180327868871</v>
      </c>
      <c r="BO35" s="679" t="e">
        <f ca="1">Tab_NewTRADER[[#This Row],[L_Sn]]*Tab_NewTRADER[[#This Row],[L_Sp]]+Tab_NewTRADER[[#This Row],[SellMore]]*Tab_NewTRADER[[#This Row],[M]]</f>
        <v>#N/A</v>
      </c>
      <c r="BP35" s="679" t="e">
        <f ca="1">INDEX(
  INDEX(TabConsolid[], , _xlfn.XMATCH(Tab_NewTRADER[[#This Row],[ClickTick]]&amp;1, TabConsolid[#Headers])),
  MATCH(
    -Tab_NewTRADER[[#This Row],[M]],
    INDEX(TabConsolid[], , _xlfn.XMATCH(Tab_NewTRADER[[#This Row],[ClickTick]]&amp;2, TabConsolid[#Headers])),
    -1
  )
)</f>
        <v>#N/A</v>
      </c>
      <c r="BQ35" s="679" cm="1">
        <f t="array" aca="1" ref="BQ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R35" s="1156" t="e">
        <f ca="1">Tab_NewTRADER[[#This Row],[ReBuy]]/(Tab_NewTRADER[[#This Row],[L_Sn]]+Tab_NewTRADER[[#This Row],[SellMore]])</f>
        <v>#N/A</v>
      </c>
      <c r="BS35" s="687" t="e">
        <f ca="1">((_xlfn.XLOOKUP(Tab_NewTRADER[[#This Row],[ClickTick]],TabCalc[Ticker],TabCalc[NAfter])+Tab_NewTRADER[[#This Row],[L_Sn]])*(Tab_NewTRADER[[#This Row],[Agiotage]]-Tab_NewTRADER[[#This Row],[M]]))/(Tab_NewTRADER[[#This Row],[L_Sn]]*_xlfn.XLOOKUP(Tab_NewTRADER[[#This Row],[ClickTick]],TabCalc[Ticker],TabCalc[NAfter]))</f>
        <v>#DIV/0!</v>
      </c>
      <c r="BT35" s="687">
        <f ca="1">(Tab_NewTRADER[[#This Row],[M]]-Tab_NewTRADER[[#This Row],[Agiotage]])/(Tab_NewTRADER[[#This Row],[M]]-Tab_NewTRADER[[#This Row],[A]])-1</f>
        <v>-1.2081510990501718</v>
      </c>
      <c r="BU35" s="1277">
        <f ca="1">_xlfn.XMATCH(Tab_NewTRADER[[#This Row],[ClickTick]]&amp;1, TabConsolid[#Headers])</f>
        <v>98</v>
      </c>
      <c r="BV35" t="str">
        <f ca="1">IF(ABS(Tab_NewTRADER[[#This Row],[L_Bp]])&gt;=Tab_NewTRADER[[#This Row],[M]],"OK")</f>
        <v>OK</v>
      </c>
    </row>
    <row r="36" spans="1:74"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-1,500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1,092</v>
      </c>
      <c r="F36" s="226" t="str">
        <f ca="1">TRUNC(TabCalc[[#This Row],[L_B1p]],2)&amp;"x"&amp;TabCalc[[#This Row],[L_B1n]]&amp;"=   "&amp;TEXT(TabCalc[[#This Row],[ReverseS1]],"#,#0")&amp;"$"</f>
        <v>-27.53x1000=   7,190$</v>
      </c>
      <c r="G36" s="225" t="str">
        <f ca="1">IFERROR(TRUNC(_xlfn.XLOOKUP(Tab_NewTRADER[[#This Row],[ClickTick]],TabCalc[Ticker],ListLastSalep),2)&amp;"x"&amp;_xlfn.XLOOKUP(Tab_NewTRADER[[#This Row],[ClickTick]],TabCalc[Ticker],ListLastSalen)&amp;"=   "&amp;TEXT(-_xlfn.XLOOKUP(Tab_NewTRADER[[#This Row],[ClickTick]],TabCalc[Ticker],ListReverseB),"#,#0")&amp;"$","")</f>
        <v>39.3x500=   -2,290$</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13.2% = 1,092</v>
      </c>
      <c r="I36" s="226" t="str">
        <f ca="1">IFERROR(TRUNC(TabCalc[[#This Row],[L_S1p]],2)&amp;"x"&amp;TabCalc[[#This Row],[L_S1n]]&amp;"=   "&amp;TEXT(TabCalc[[#This Row],[ReverseB1]],"#,#0"),"")</f>
        <v>36.29x1000=   1,570</v>
      </c>
      <c r="J36" s="295">
        <f ca="1">_xlfn.XLOOKUP(Tab_NewTRADER[[#This Row],[ClickTick]],TabCalc[Ticker],ListGravity)</f>
        <v>1.3500902940388653</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34719.9</v>
      </c>
      <c r="M36" s="323">
        <f ca="1">_xlfn.XLOOKUP(Tab_NewTRADER[[#This Row],[ClickTick]],TabCalc[Ticker],TabCalc[Agiotage])</f>
        <v>0.4777762763177395</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-2.7998320268756895E-2</v>
      </c>
      <c r="S36" s="683">
        <f ca="1">_xlfn.XLOOKUP(Tab_NewTRADER[[#This Row],[ClickTick]],TabCalc[Ticker],TabCalc[Rev(MinStock)])*(1-Commission)</f>
        <v>-1496.2496099999944</v>
      </c>
      <c r="T36" s="782">
        <f ca="1">_xlfn.XLOOKUP(Tab_NewTRADER[[#This Row],[ClickTick]],TabCalc[Ticker],TabCalc[Agiotage])</f>
        <v>0.4777762763177395</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2,520/2,520=&gt;2.6% / 2.6%</v>
      </c>
      <c r="V36" s="739" t="str">
        <f ca="1">_xlfn.XLOOKUP(Tab_NewTRADER[[#This Row],[ClickTick]],[1]!RTData[Ticker_Symbol],[1]!RTData[Currency])</f>
        <v>USD</v>
      </c>
      <c r="W36" s="749">
        <f ca="1">_xlfn.XLOOKUP(Tab_NewTRADER[[#This Row],[ClickTick]],TabCalc[Ticker],TabCalc[M])</f>
        <v>34.719900000000003</v>
      </c>
      <c r="X36" s="1343"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^72 / 139 K$</v>
      </c>
      <c r="AE36" s="1195" t="str" cm="1">
        <f t="array" aca="1" ref="AE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6" s="1177" t="str" cm="1">
        <f t="array" aca="1" ref="AF36" ca="1">_xlfn.IFS(       Tab_NewTRADER[[#This Row],[Trap_vs_Last]]=RePurchaseGain,TEXT(Tab_NewTRADER[[#This Row],[L_Sn]],"#,#0")&amp;" x "&amp;TEXT(Tab_NewTRADER[[#This Row],[L_Sp]],"#,#0.#0"),     Tab_NewTRADER[[#This Row],[Trap_vs_Last]]=ReSaleGain,Tab_NewTRADER[[#This Row],[ToSell]],               TRUE,"")</f>
        <v/>
      </c>
      <c r="AG36" s="1177" t="str" cm="1">
        <f t="array" aca="1" ref="AG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-35.72</v>
      </c>
      <c r="AH36" s="1370" t="str">
        <f ca="1">TEXT(MIN(Tab_NewTRADER[[#This Row],[L_Bn]],Tab_NewTRADER[[#This Row],[N]]),"#,#0")&amp;" x "&amp;TEXT(Tab_NewTRADER[[#This Row],[L_Bp]],"#,#0.#0")</f>
        <v>1,500 x -35.72</v>
      </c>
      <c r="AI36" s="1370">
        <f ca="1">IF(Tab_NewTRADER[[#This Row],[M]]&lt;_xlfn.XLOOKUP(Tab_NewTRADER[[#This Row],[ClickTick]],TabCalc[Ticker],TabCalc[Max_Buy_P]), 0,Tab_NewTRADER[[#This Row],[Sale_Back_$]])</f>
        <v>0</v>
      </c>
      <c r="AJ36" s="1370" t="str">
        <f ca="1">TEXT(Tab_NewTRADER[[#This Row],[L_Sn]],"#,#0")&amp;" ("&amp;Tab_NewTRADER[[#This Row],[M]]&amp;"/"&amp;TEXT(Tab_NewTRADER[[#This Row],[L_Sp]],"#,#0.#0)")</f>
        <v>500 (34.7199/39.30)</v>
      </c>
      <c r="AK36" s="1370">
        <f ca="1">IF(Tab_NewTRADER[[#This Row],[M]]&lt;_xlfn.XLOOKUP(Tab_NewTRADER[[#This Row],[ClickTick]],TabCalc[Ticker],TabCalc[Max_Buy_P]), -Tab_NewTRADER[[#This Row],[Buy_Back]], 0)</f>
        <v>2284.3452199999983</v>
      </c>
      <c r="AL36" s="1177" cm="1">
        <f t="array" aca="1" ref="AL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1496.2496099999944</v>
      </c>
      <c r="AM36" s="760">
        <f ca="1">Tab_NewTRADER[[#This Row],[N]]*(Tab_NewTRADER[[#This Row],[M]]-Tab_NewTRADER[[#This Row],[A]])*(1-Commission)*Tab_NewTRADER[[#This Row],[Scale]]</f>
        <v>21812.739040000004</v>
      </c>
      <c r="AN36" s="760">
        <f ca="1">Tab_NewTRADER[[#This Row],[M]]*Tab_NewTRADER[[#This Row],[N]]*(1-Commission)*Tab_NewTRADER[[#This Row],[Scale]]</f>
        <v>138518.51303999999</v>
      </c>
      <c r="AO36" s="1186" cm="1">
        <f t="array" aca="1" ref="AO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-0.18690368344585936</v>
      </c>
      <c r="AP36" s="1186" cm="1">
        <f t="array" aca="1" ref="AP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2.6204806465456296E-2</v>
      </c>
      <c r="AQ36" s="825" t="str" cm="1">
        <f t="array" aca="1" ref="AQ36" ca="1">_xlfn.IFS(   Tab_NewTRADER[[#This Row],[Trap_vs_Last]]=SellMorePercentGain,                     MIN(Tab_NewTRADER[[#This Row],[L_Sn]],Tab_NewTRADER[[#This Row],[N]])*(Tab_NewTRADER[[#This Row],[M]]-Tab_NewTRADER[[#This Row],[L_Sp]])*(1-Commission)*Tab_NewTRADER[[#This Row],[Scale]],                    TRUE,"")</f>
        <v/>
      </c>
      <c r="AR36" s="1341">
        <f ca="1">_xlfn.XLOOKUP(Tab_NewTRADER[[#This Row],[ClickTick]],TabCalc[Ticker],TabCalc[Ann%RevLB])</f>
        <v>-0.59290560569132256</v>
      </c>
      <c r="AS36" s="1282">
        <f ca="1">_xlfn.XLOOKUP(Tab_NewTRADER[[#This Row],[ClickTick]],TabCalc[Ticker],TabCalc[Up20])</f>
        <v>0</v>
      </c>
      <c r="AT36" s="1187" cm="1">
        <f t="array" aca="1" ref="AT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2.8804806465456297E-2</v>
      </c>
      <c r="AU36" s="825" cm="1">
        <f t="array" aca="1" ref="AU36" ca="1">_xlfn.IFS(         Tab_NewTRADER[[#This Row],[Trap_vs_Last]]=MDown,Tab_NewTRADER[[#This Row],[L_Bn]]*Tab_NewTRADER[[#This Row],[M]]*(-(Tab_NewTRADER[[#This Row],[L_Bp]]+Tab_NewTRADER[[#This Row],[M]])/Tab_NewTRADER[[#This Row],[M]])*(1-Commission)*Tab_NewTRADER[[#This Row],[Scale]],                               TRUE,"")</f>
        <v>1496.2496099999944</v>
      </c>
      <c r="AV36" s="1186" cm="1">
        <f t="array" aca="1" ref="AV36" ca="1">_xlfn.IFS(   Tab_NewTRADER[[#This Row],[Trap_vs_Last]]=MUp,Tab_NewTRADER[[#This Row],[TakeGain_A]]-Commission,        Tab_NewTRADER[[#This Row],[Trap_vs_Last]]=MDown,(Tab_NewTRADER[[#This Row],[A]]-Tab_NewTRADER[[#This Row],[M]])/Tab_NewTRADER[[#This Row],[M]]-Commission,                              TRUE,"")</f>
        <v>-0.16007165170406598</v>
      </c>
      <c r="AW36" s="760" cm="1">
        <f t="array" aca="1" ref="AW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-21812.739040000004</v>
      </c>
      <c r="AX36" s="760" t="str" cm="1">
        <f t="array" aca="1" ref="AX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1.9%</v>
      </c>
      <c r="AY36" s="736" cm="1">
        <f t="array" aca="1" ref="AY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v>
      </c>
      <c r="AZ36" s="765" cm="1">
        <f t="array" aca="1" ref="AZ36" ca="1">_xlfn.IFS(Tab_NewTRADER[[#This Row],[Trap_vs_Last]]=ReSaleGain,"",         Tab_NewTRADER[[#This Row],[Trap_vs_Last]]=MDown, (Tab_NewTRADER[[#This Row],[M]]-Tab_NewTRADER[[#This Row],[A]])/Tab_NewTRADER[[#This Row],[A]]*ComFactor,             TRUE, IFERROR((Tab_NewTRADER[[#This Row],[M]]-Tab_NewTRADER[[#This Row],[A]])/Tab_NewTRADER[[#This Row],[A]]*ComFactor,""))</f>
        <v>0.18641773386890012</v>
      </c>
      <c r="BA36" s="762" cm="1">
        <f t="array" aca="1" ref="BA36" ca="1">_xlfn.IFS(               Tab_NewTRADER[[#This Row],[Trap_vs_Last]]=NoStock,(Tab_NewTRADER[[#This Row],[L_Sp]]-Tab_NewTRADER[[#This Row],[M]])/Tab_NewTRADER[[#This Row],[M]]-Commission,             Tab_NewTRADER[[#This Row],[A]]&lt;&gt;0,(Tab_NewTRADER[[#This Row],[A]]-Tab_NewTRADER[[#This Row],[M]])/Tab_NewTRADER[[#This Row],[M]]-Commission)</f>
        <v>-0.16007165170406598</v>
      </c>
      <c r="BB36" s="324">
        <f ca="1">_xlfn.XLOOKUP(Tab_NewTRADER[[#This Row],[ClickTick]],TabCalc[Ticker],TabCalc[L_Sn])</f>
        <v>500</v>
      </c>
      <c r="BC36" s="728">
        <f ca="1">_xlfn.XLOOKUP(Tab_NewTRADER[[#This Row],[ClickTick]],TabCalc[Ticker],TabCalc[L_Sp])</f>
        <v>39.3005</v>
      </c>
      <c r="BD36" s="764">
        <f ca="1">-IFERROR((Tab_NewTRADER[[#This Row],[M]]-Tab_NewTRADER[[#This Row],[L_Sp]])/Tab_NewTRADER[[#This Row],[L_Sp]],0)</f>
        <v>0.11655322451368295</v>
      </c>
      <c r="BE36" s="729">
        <f ca="1">MIN(Tab_NewTRADER[[#This Row],[L_Sn]],Tab_NewTRADER[[#This Row],[N]])*(Tab_NewTRADER[[#This Row],[M]]-Tab_NewTRADER[[#This Row],[L_Sp]])*(1-Commission)*Tab_NewTRADER[[#This Row],[Scale]]</f>
        <v>-2284.3452199999983</v>
      </c>
      <c r="BF36" s="692">
        <f ca="1">Tab_NewTRADER[[#This Row],[L_Sn]]*(Tab_NewTRADER[[#This Row],[Agiotage]]-Tab_NewTRADER[[#This Row],[M]])/(Tab_NewTRADER[[#This Row],[L_Bn]]*Tab_NewTRADER[[#This Row],[M]])</f>
        <v>-0.3287463743048632</v>
      </c>
      <c r="BG36" s="635">
        <f ca="1">IFERROR((Tab_NewTRADER[[#This Row],[M]]-Tab_NewTRADER[[#This Row],[A]])/Tab_NewTRADER[[#This Row],[A]],0)</f>
        <v>0.18690368344585936</v>
      </c>
      <c r="BH36" s="638" t="str">
        <f ca="1">TEXT(_xlfn.XLOOKUP(Tab_NewTRADER[[#This Row],[ClickTick]],TabCalc[Ticker],TabCalc[NAfter]),"#,#0")&amp;" : "&amp;TEXT(_xlfn.XLOOKUP(Tab_NewTRADER[[#This Row],[ClickTick]],TabCalc[Ticker],TabCalc[NAfter])*(Tab_NewTRADER[[#This Row],[M]]-Tab_NewTRADER[[#This Row],[A]])*(1-Commission)*Tab_NewTRADER[[#This Row],[Scale]],"#,#0$")</f>
        <v>4,000 : 21,813$</v>
      </c>
      <c r="BI36" s="684">
        <f ca="1">_xlfn.XLOOKUP(Tab_NewTRADER[[#This Row],[ClickTick]],TabCalc[[#This Row],[Ticker]],TabCalc[[#This Row],[GL]])*(1-Commission)</f>
        <v>71450.89340999999</v>
      </c>
      <c r="BJ36" s="684"/>
      <c r="BK36" s="669" t="str">
        <f ca="1">Tab_NewTRADER[[#This Row],[ClickTick]]&amp;": "&amp;_xlfn.XLOOKUP(Tab_NewTRADER[[#This Row],[ClickTick]],TabCalc[Ticker],TabCalc[Pile?])</f>
        <v xml:space="preserve">PAAS: </v>
      </c>
      <c r="BL36" s="351" t="s">
        <v>2070</v>
      </c>
      <c r="BM36" s="755" t="str" cm="1">
        <f t="array" aca="1" ref="BM36" ca="1">_xlfn.TEXTJOIN("",,INDEX({"M","A","Y"}, _xlfn.SORTBY({1,2,3}, -CHOOSE({1,2,3}, Tab_NewTRADER[[#This Row],[M]], Tab_NewTRADER[[#This Row],[A]], Tab_NewTRADER[[#This Row],[Agiotage]]))))</f>
        <v>MAY</v>
      </c>
      <c r="BN36" s="909" cm="1">
        <f t="array" aca="1" ref="BN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2.8804806465456297E-2</v>
      </c>
      <c r="BO36" s="679">
        <f ca="1">Tab_NewTRADER[[#This Row],[L_Sn]]*Tab_NewTRADER[[#This Row],[L_Sp]]+Tab_NewTRADER[[#This Row],[SellMore]]*Tab_NewTRADER[[#This Row],[M]]</f>
        <v>54370.15</v>
      </c>
      <c r="BP36" s="679">
        <f ca="1">INDEX(
  INDEX(TabConsolid[], , _xlfn.XMATCH(Tab_NewTRADER[[#This Row],[ClickTick]]&amp;1, TabConsolid[#Headers])),
  MATCH(
    -Tab_NewTRADER[[#This Row],[M]],
    INDEX(TabConsolid[], , _xlfn.XMATCH(Tab_NewTRADER[[#This Row],[ClickTick]]&amp;2, TabConsolid[#Headers])),
    -1
  )
)</f>
        <v>1000</v>
      </c>
      <c r="BQ36" s="679" cm="1">
        <f t="array" aca="1" ref="BQ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36" s="1156">
        <f ca="1">Tab_NewTRADER[[#This Row],[ReBuy]]/(Tab_NewTRADER[[#This Row],[L_Sn]]+Tab_NewTRADER[[#This Row],[SellMore]])</f>
        <v>36.246766666666666</v>
      </c>
      <c r="BS36" s="687">
        <f ca="1">((_xlfn.XLOOKUP(Tab_NewTRADER[[#This Row],[ClickTick]],TabCalc[Ticker],TabCalc[NAfter])+Tab_NewTRADER[[#This Row],[L_Sn]])*(Tab_NewTRADER[[#This Row],[Agiotage]]-Tab_NewTRADER[[#This Row],[M]]))/(Tab_NewTRADER[[#This Row],[L_Sn]]*_xlfn.XLOOKUP(Tab_NewTRADER[[#This Row],[ClickTick]],TabCalc[Ticker],TabCalc[NAfter]))</f>
        <v>-7.7044778378285092E-2</v>
      </c>
      <c r="BT36" s="687">
        <f ca="1">(Tab_NewTRADER[[#This Row],[M]]-Tab_NewTRADER[[#This Row],[Agiotage]])/(Tab_NewTRADER[[#This Row],[M]]-Tab_NewTRADER[[#This Row],[A]])-1</f>
        <v>5.2629629666170858</v>
      </c>
      <c r="BU36" s="1277">
        <f ca="1">_xlfn.XMATCH(Tab_NewTRADER[[#This Row],[ClickTick]]&amp;1, TabConsolid[#Headers])</f>
        <v>101</v>
      </c>
      <c r="BV36" t="str">
        <f ca="1">IF(ABS(Tab_NewTRADER[[#This Row],[L_Bp]])&gt;=Tab_NewTRADER[[#This Row],[M]],"OK")</f>
        <v>OK</v>
      </c>
    </row>
    <row r="37" spans="1:74"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+2,940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12.4%</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-600$</v>
      </c>
      <c r="G37" s="225" t="str">
        <f ca="1">IFERROR(TRUNC(_xlfn.XLOOKUP(Tab_NewTRADER[[#This Row],[ClickTick]],TabCalc[Ticker],ListLastSalep),2)&amp;"x"&amp;_xlfn.XLOOKUP(Tab_NewTRADER[[#This Row],[ClickTick]],TabCalc[Ticker],ListLastSalen)&amp;"=   "&amp;TEXT(-_xlfn.XLOOKUP(Tab_NewTRADER[[#This Row],[ClickTick]],TabCalc[Ticker],ListReverseB),"#,#0")&amp;"$","")</f>
        <v>5.61x2000=   630$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37" s="226" t="str">
        <f ca="1">IFERROR(TRUNC(TabCalc[[#This Row],[L_S1p]],2)&amp;"x"&amp;TabCalc[[#This Row],[L_S1n]]&amp;"=   "&amp;TEXT(TabCalc[[#This Row],[ReverseB1]],"#,#0"),"")</f>
        <v>6.93x2000=   2,010</v>
      </c>
      <c r="J37" s="295">
        <f ca="1">_xlfn.XLOOKUP(Tab_NewTRADER[[#This Row],[ClickTick]],TabCalc[Ticker],ListGravity)</f>
        <v>2.0421940928270041</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0.46411032434901783</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0.14161849710982646</v>
      </c>
      <c r="S37" s="683">
        <f ca="1">_xlfn.XLOOKUP(Tab_NewTRADER[[#This Row],[ClickTick]],TabCalc[Ticker],TabCalc[Rev(MinStock)])*(1-Commission)</f>
        <v>2932.3559999999975</v>
      </c>
      <c r="T37" s="782">
        <f ca="1">_xlfn.XLOOKUP(Tab_NewTRADER[[#This Row],[ClickTick]],TabCalc[Ticker],TabCalc[Agiotage])</f>
        <v>0.46411032434901783</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460/460=&gt;1.3% / 1.3%</v>
      </c>
      <c r="V37" s="739" t="str">
        <f ca="1">_xlfn.XLOOKUP(Tab_NewTRADER[[#This Row],[ClickTick]],[1]!RTData[Ticker_Symbol],[1]!RTData[Currency])</f>
        <v>USD</v>
      </c>
      <c r="W37" s="749">
        <f ca="1">_xlfn.XLOOKUP(Tab_NewTRADER[[#This Row],[ClickTick]],TabCalc[Ticker],TabCalc[M])</f>
        <v>5.9249999999999998</v>
      </c>
      <c r="X37" s="1343"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 / 24 K$</v>
      </c>
      <c r="AE37" s="1195" t="str" cm="1">
        <f t="array" aca="1" ref="AE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7" s="1177" t="str" cm="1">
        <f t="array" aca="1" ref="AF37" ca="1">_xlfn.IFS(       Tab_NewTRADER[[#This Row],[Trap_vs_Last]]=RePurchaseGain,TEXT(Tab_NewTRADER[[#This Row],[L_Sn]],"#,#0")&amp;" x "&amp;TEXT(Tab_NewTRADER[[#This Row],[L_Sp]],"#,#0.#0"),     Tab_NewTRADER[[#This Row],[Trap_vs_Last]]=ReSaleGain,Tab_NewTRADER[[#This Row],[ToSell]],               TRUE,"")</f>
        <v/>
      </c>
      <c r="AG37" s="1177" t="str" cm="1">
        <f t="array" aca="1" ref="AG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H37" s="1370" t="str">
        <f ca="1">TEXT(MIN(Tab_NewTRADER[[#This Row],[L_Bn]],Tab_NewTRADER[[#This Row],[N]]),"#,#0")&amp;" x "&amp;TEXT(Tab_NewTRADER[[#This Row],[L_Bp]],"#,#0.#0")</f>
        <v>4,000 x -5.19</v>
      </c>
      <c r="AI37" s="1370">
        <f ca="1">IF(Tab_NewTRADER[[#This Row],[M]]&lt;_xlfn.XLOOKUP(Tab_NewTRADER[[#This Row],[ClickTick]],TabCalc[Ticker],TabCalc[Max_Buy_P]), 0,Tab_NewTRADER[[#This Row],[Sale_Back_$]])</f>
        <v>2932.3559999999975</v>
      </c>
      <c r="AJ37" s="1370" t="str">
        <f ca="1">TEXT(Tab_NewTRADER[[#This Row],[L_Sn]],"#,#0")&amp;" ("&amp;Tab_NewTRADER[[#This Row],[M]]&amp;"/"&amp;TEXT(Tab_NewTRADER[[#This Row],[L_Sp]],"#,#0.#0)")</f>
        <v>2,000 (5.925/5.61)</v>
      </c>
      <c r="AK37" s="1370">
        <f ca="1">IF(Tab_NewTRADER[[#This Row],[M]]&lt;_xlfn.XLOOKUP(Tab_NewTRADER[[#This Row],[ClickTick]],TabCalc[Ticker],TabCalc[Max_Buy_P]), -Tab_NewTRADER[[#This Row],[Buy_Back]], 0)</f>
        <v>0</v>
      </c>
      <c r="AL37" s="1177" cm="1">
        <f t="array" aca="1" ref="AL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628.36199999999894</v>
      </c>
      <c r="AM37" s="1177">
        <f ca="1">Tab_NewTRADER[[#This Row],[N]]*(Tab_NewTRADER[[#This Row],[M]]-Tab_NewTRADER[[#This Row],[A]])*(1-Commission)*Tab_NewTRADER[[#This Row],[Scale]]</f>
        <v>2932.3559999999975</v>
      </c>
      <c r="AN37" s="1177">
        <f ca="1">Tab_NewTRADER[[#This Row],[M]]*Tab_NewTRADER[[#This Row],[N]]*(1-Commission)*Tab_NewTRADER[[#This Row],[Scale]]</f>
        <v>23638.379999999997</v>
      </c>
      <c r="AO37" s="1186" cm="1">
        <f t="array" aca="1" ref="AO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0.14161849710982646</v>
      </c>
      <c r="AP37" s="1186" cm="1">
        <f t="array" aca="1" ref="AP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5.0564556962025234E-2</v>
      </c>
      <c r="AQ37" s="825" cm="1">
        <f t="array" aca="1" ref="AQ37" ca="1">_xlfn.IFS(   Tab_NewTRADER[[#This Row],[Trap_vs_Last]]=SellMorePercentGain,                     MIN(Tab_NewTRADER[[#This Row],[L_Sn]],Tab_NewTRADER[[#This Row],[N]])*(Tab_NewTRADER[[#This Row],[M]]-Tab_NewTRADER[[#This Row],[L_Sp]])*(1-Commission)*Tab_NewTRADER[[#This Row],[Scale]],                    TRUE,"")</f>
        <v>628.36199999999894</v>
      </c>
      <c r="AR37" s="1175">
        <f ca="1">_xlfn.XLOOKUP(Tab_NewTRADER[[#This Row],[ClickTick]],TabCalc[Ticker],TabCalc[Ann%RevLB])</f>
        <v>1.1586967945349438</v>
      </c>
      <c r="AS37" s="1282">
        <f ca="1">_xlfn.XLOOKUP(Tab_NewTRADER[[#This Row],[ClickTick]],TabCalc[Ticker],TabCalc[Up20])</f>
        <v>0</v>
      </c>
      <c r="AT37" s="310" t="str" cm="1">
        <f t="array" aca="1" ref="AT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7" s="825" t="str" cm="1">
        <f t="array" aca="1" ref="AU37" ca="1">_xlfn.IFS(         Tab_NewTRADER[[#This Row],[Trap_vs_Last]]=MDown,Tab_NewTRADER[[#This Row],[L_Bn]]*Tab_NewTRADER[[#This Row],[M]]*(-(Tab_NewTRADER[[#This Row],[L_Bp]]+Tab_NewTRADER[[#This Row],[M]])/Tab_NewTRADER[[#This Row],[M]])*(1-Commission)*Tab_NewTRADER[[#This Row],[Scale]],                               TRUE,"")</f>
        <v/>
      </c>
      <c r="AV37" s="1186" cm="1">
        <f t="array" aca="1" ref="AV37" ca="1">_xlfn.IFS(   Tab_NewTRADER[[#This Row],[Trap_vs_Last]]=MUp,Tab_NewTRADER[[#This Row],[TakeGain_A]]-Commission,        Tab_NewTRADER[[#This Row],[Trap_vs_Last]]=MDown,(Tab_NewTRADER[[#This Row],[A]]-Tab_NewTRADER[[#This Row],[M]])/Tab_NewTRADER[[#This Row],[M]]-Commission,                              TRUE,"")</f>
        <v>0.13901849710982647</v>
      </c>
      <c r="AW37" s="760" cm="1">
        <f t="array" aca="1" ref="AW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3347.6318497109796</v>
      </c>
      <c r="AX37" s="760" t="str" cm="1">
        <f t="array" aca="1" ref="AX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-2.9%</v>
      </c>
      <c r="AY37" s="736" t="str" cm="1">
        <f t="array" aca="1" ref="AY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4,000x0.73</v>
      </c>
      <c r="AZ37" s="765" cm="1">
        <f t="array" aca="1" ref="AZ37" ca="1">_xlfn.IFS(Tab_NewTRADER[[#This Row],[Trap_vs_Last]]=ReSaleGain,"",         Tab_NewTRADER[[#This Row],[Trap_vs_Last]]=MDown, (Tab_NewTRADER[[#This Row],[M]]-Tab_NewTRADER[[#This Row],[A]])/Tab_NewTRADER[[#This Row],[A]]*ComFactor,             TRUE, IFERROR((Tab_NewTRADER[[#This Row],[M]]-Tab_NewTRADER[[#This Row],[A]])/Tab_NewTRADER[[#This Row],[A]]*ComFactor,""))</f>
        <v>0.14125028901734091</v>
      </c>
      <c r="BA37" s="762" cm="1">
        <f t="array" aca="1" ref="BA37" ca="1">_xlfn.IFS(               Tab_NewTRADER[[#This Row],[Trap_vs_Last]]=NoStock,(Tab_NewTRADER[[#This Row],[L_Sp]]-Tab_NewTRADER[[#This Row],[M]])/Tab_NewTRADER[[#This Row],[M]]-Commission,             Tab_NewTRADER[[#This Row],[A]]&lt;&gt;0,(Tab_NewTRADER[[#This Row],[A]]-Tab_NewTRADER[[#This Row],[M]])/Tab_NewTRADER[[#This Row],[M]]-Commission)</f>
        <v>-0.12665063291139231</v>
      </c>
      <c r="BB37" s="324">
        <f ca="1">_xlfn.XLOOKUP(Tab_NewTRADER[[#This Row],[ClickTick]],TabCalc[Ticker],TabCalc[L_Sn])</f>
        <v>2000</v>
      </c>
      <c r="BC37" s="728">
        <f ca="1">_xlfn.XLOOKUP(Tab_NewTRADER[[#This Row],[ClickTick]],TabCalc[Ticker],TabCalc[L_Sp])</f>
        <v>5.61</v>
      </c>
      <c r="BD37" s="764">
        <f ca="1">-IFERROR((Tab_NewTRADER[[#This Row],[M]]-Tab_NewTRADER[[#This Row],[L_Sp]])/Tab_NewTRADER[[#This Row],[L_Sp]],0)</f>
        <v>-5.6149732620320761E-2</v>
      </c>
      <c r="BE37" s="729">
        <f ca="1">MIN(Tab_NewTRADER[[#This Row],[L_Sn]],Tab_NewTRADER[[#This Row],[N]])*(Tab_NewTRADER[[#This Row],[M]]-Tab_NewTRADER[[#This Row],[L_Sp]])*(1-Commission)*Tab_NewTRADER[[#This Row],[Scale]]</f>
        <v>628.36199999999894</v>
      </c>
      <c r="BF37" s="692">
        <f ca="1">Tab_NewTRADER[[#This Row],[L_Sn]]*(Tab_NewTRADER[[#This Row],[Agiotage]]-Tab_NewTRADER[[#This Row],[M]])/(Tab_NewTRADER[[#This Row],[L_Bn]]*Tab_NewTRADER[[#This Row],[M]])</f>
        <v>-0.46083457178489301</v>
      </c>
      <c r="BG37" s="635">
        <f ca="1">IFERROR((Tab_NewTRADER[[#This Row],[M]]-Tab_NewTRADER[[#This Row],[A]])/Tab_NewTRADER[[#This Row],[A]],0)</f>
        <v>0.14161849710982646</v>
      </c>
      <c r="BH37" s="638" t="str">
        <f ca="1">TEXT(_xlfn.XLOOKUP(Tab_NewTRADER[[#This Row],[ClickTick]],TabCalc[Ticker],TabCalc[NAfter]),"#,#0")&amp;" : "&amp;TEXT(_xlfn.XLOOKUP(Tab_NewTRADER[[#This Row],[ClickTick]],TabCalc[Ticker],TabCalc[NAfter])*(Tab_NewTRADER[[#This Row],[M]]-Tab_NewTRADER[[#This Row],[A]])*(1-Commission)*Tab_NewTRADER[[#This Row],[Scale]],"#,#0$")</f>
        <v>4,000 : 2,932$</v>
      </c>
      <c r="BI37" s="684">
        <f ca="1">_xlfn.XLOOKUP(Tab_NewTRADER[[#This Row],[ClickTick]],TabCalc[[#This Row],[Ticker]],TabCalc[[#This Row],[GL]])*(1-Commission)</f>
        <v>4216.3888120000265</v>
      </c>
      <c r="BJ37" s="684"/>
      <c r="BK37" s="669" t="str">
        <f ca="1">Tab_NewTRADER[[#This Row],[ClickTick]]&amp;": "&amp;_xlfn.XLOOKUP(Tab_NewTRADER[[#This Row],[ClickTick]],TabCalc[Ticker],TabCalc[Pile?])</f>
        <v xml:space="preserve">PROF: </v>
      </c>
      <c r="BL37" s="351" t="s">
        <v>1969</v>
      </c>
      <c r="BM37" s="755" t="str" cm="1">
        <f t="array" aca="1" ref="BM37" ca="1">_xlfn.TEXTJOIN("",,INDEX({"M","A","Y"}, _xlfn.SORTBY({1,2,3}, -CHOOSE({1,2,3}, Tab_NewTRADER[[#This Row],[M]], Tab_NewTRADER[[#This Row],[A]], Tab_NewTRADER[[#This Row],[Agiotage]]))))</f>
        <v>MAY</v>
      </c>
      <c r="BN37" s="909" cm="1">
        <f t="array" aca="1" ref="BN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5.3164556962025232E-2</v>
      </c>
      <c r="BO37" s="679">
        <f ca="1">Tab_NewTRADER[[#This Row],[L_Sn]]*Tab_NewTRADER[[#This Row],[L_Sp]]+Tab_NewTRADER[[#This Row],[SellMore]]*Tab_NewTRADER[[#This Row],[M]]</f>
        <v>34920</v>
      </c>
      <c r="BP37" s="679">
        <f ca="1">INDEX(
  INDEX(TabConsolid[], , _xlfn.XMATCH(Tab_NewTRADER[[#This Row],[ClickTick]]&amp;1, TabConsolid[#Headers])),
  MATCH(
    -Tab_NewTRADER[[#This Row],[M]],
    INDEX(TabConsolid[], , _xlfn.XMATCH(Tab_NewTRADER[[#This Row],[ClickTick]]&amp;2, TabConsolid[#Headers])),
    -1
  )
)</f>
        <v>4000</v>
      </c>
      <c r="BQ37" s="679" cm="1">
        <f t="array" aca="1" ref="BQ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7" s="1156">
        <f ca="1">Tab_NewTRADER[[#This Row],[ReBuy]]/(Tab_NewTRADER[[#This Row],[L_Sn]]+Tab_NewTRADER[[#This Row],[SellMore]])</f>
        <v>5.82</v>
      </c>
      <c r="BS37" s="687">
        <f ca="1">((_xlfn.XLOOKUP(Tab_NewTRADER[[#This Row],[ClickTick]],TabCalc[Ticker],TabCalc[NAfter])+Tab_NewTRADER[[#This Row],[L_Sn]])*(Tab_NewTRADER[[#This Row],[Agiotage]]-Tab_NewTRADER[[#This Row],[M]]))/(Tab_NewTRADER[[#This Row],[L_Sn]]*_xlfn.XLOOKUP(Tab_NewTRADER[[#This Row],[ClickTick]],TabCalc[Ticker],TabCalc[NAfter]))</f>
        <v>-4.0956672567382365E-3</v>
      </c>
      <c r="BT37" s="687">
        <f ca="1">(Tab_NewTRADER[[#This Row],[M]]-Tab_NewTRADER[[#This Row],[Agiotage]])/(Tab_NewTRADER[[#This Row],[M]]-Tab_NewTRADER[[#This Row],[A]])-1</f>
        <v>6.4297818716339954</v>
      </c>
      <c r="BU37" s="1277">
        <f ca="1">_xlfn.XMATCH(Tab_NewTRADER[[#This Row],[ClickTick]]&amp;1, TabConsolid[#Headers])</f>
        <v>104</v>
      </c>
      <c r="BV37" t="b">
        <f ca="1">IF(ABS(Tab_NewTRADER[[#This Row],[L_Bp]])&gt;=Tab_NewTRADER[[#This Row],[M]],"OK")</f>
        <v>0</v>
      </c>
    </row>
    <row r="38" spans="1:74"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+625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11,129$</v>
      </c>
      <c r="G38" s="225" t="str">
        <f ca="1">IFERROR(TRUNC(_xlfn.XLOOKUP(Tab_NewTRADER[[#This Row],[ClickTick]],TabCalc[Ticker],ListLastSalep),2)&amp;"x"&amp;_xlfn.XLOOKUP(Tab_NewTRADER[[#This Row],[ClickTick]],TabCalc[Ticker],ListLastSalen)&amp;"=   "&amp;TEXT(-_xlfn.XLOOKUP(Tab_NewTRADER[[#This Row],[ClickTick]],TabCalc[Ticker],ListReverseB),"#,#0")&amp;"$","")</f>
        <v>9.07x2500=   -9,250$</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68.9% = 1,351</v>
      </c>
      <c r="I38" s="226" t="str">
        <f ca="1">IFERROR(TRUNC(TabCalc[[#This Row],[L_S1p]],2)&amp;"x"&amp;TabCalc[[#This Row],[L_S1n]]&amp;"=   "&amp;TEXT(TabCalc[[#This Row],[ReverseB1]],"#,#0"),"")</f>
        <v>7.4x2500=   5,075</v>
      </c>
      <c r="J38" s="295">
        <f ca="1">_xlfn.XLOOKUP(Tab_NewTRADER[[#This Row],[ClickTick]],TabCalc[Ticker],ListGravity)</f>
        <v>1.2352799865919291</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0.54843184414934687</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4.8808593750000046E-2</v>
      </c>
      <c r="S38" s="683">
        <f ca="1">_xlfn.XLOOKUP(Tab_NewTRADER[[#This Row],[ClickTick]],TabCalc[Ticker],TabCalc[Rev(MinStock)])*(1-Commission)</f>
        <v>623.12565000000052</v>
      </c>
      <c r="T38" s="782">
        <f ca="1">_xlfn.XLOOKUP(Tab_NewTRADER[[#This Row],[ClickTick]],TabCalc[Ticker],TabCalc[Agiotage])</f>
        <v>0.54843184414934687</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11,696/11,696=&gt;0.9% / 0.9%</v>
      </c>
      <c r="V38" s="739" t="str">
        <f ca="1">_xlfn.XLOOKUP(Tab_NewTRADER[[#This Row],[ClickTick]],[1]!RTData[Ticker_Symbol],[1]!RTData[Currency])</f>
        <v>USD</v>
      </c>
      <c r="W38" s="749">
        <f ca="1">_xlfn.XLOOKUP(Tab_NewTRADER[[#This Row],[ClickTick]],TabCalc[Ticker],TabCalc[M])</f>
        <v>5.3699000000000003</v>
      </c>
      <c r="X38" s="1343"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-14/242 K$</v>
      </c>
      <c r="AE38" s="1195" t="str" cm="1">
        <f t="array" aca="1" ref="AE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8" s="1177" t="str" cm="1">
        <f t="array" aca="1" ref="AF38" ca="1">_xlfn.IFS(       Tab_NewTRADER[[#This Row],[Trap_vs_Last]]=RePurchaseGain,TEXT(Tab_NewTRADER[[#This Row],[L_Sn]],"#,#0")&amp;" x "&amp;TEXT(Tab_NewTRADER[[#This Row],[L_Sp]],"#,#0.#0"),     Tab_NewTRADER[[#This Row],[Trap_vs_Last]]=ReSaleGain,Tab_NewTRADER[[#This Row],[ToSell]],               TRUE,"")</f>
        <v>2,500 x 9.07</v>
      </c>
      <c r="AG38" s="1177" cm="1">
        <f t="array" aca="1" ref="AG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9226.199349999999</v>
      </c>
      <c r="AH38" s="1370" t="str">
        <f ca="1">TEXT(MIN(Tab_NewTRADER[[#This Row],[L_Bn]],Tab_NewTRADER[[#This Row],[N]]),"#,#0")&amp;" x "&amp;TEXT(Tab_NewTRADER[[#This Row],[L_Bp]],"#,#0.#0")</f>
        <v>2,500 x -5.12</v>
      </c>
      <c r="AI38" s="1370">
        <f ca="1">IF(Tab_NewTRADER[[#This Row],[M]]&lt;_xlfn.XLOOKUP(Tab_NewTRADER[[#This Row],[ClickTick]],TabCalc[Ticker],TabCalc[Max_Buy_P]), 0,Tab_NewTRADER[[#This Row],[Sale_Back_$]])</f>
        <v>0</v>
      </c>
      <c r="AJ38" s="1370" t="str">
        <f ca="1">TEXT(Tab_NewTRADER[[#This Row],[L_Sn]],"#,#0")&amp;" ("&amp;Tab_NewTRADER[[#This Row],[M]]&amp;"/"&amp;TEXT(Tab_NewTRADER[[#This Row],[L_Sp]],"#,#0.#0)")</f>
        <v>2,500 (5.3699/9.07)</v>
      </c>
      <c r="AK38" s="1370">
        <f ca="1">IF(Tab_NewTRADER[[#This Row],[M]]&lt;_xlfn.XLOOKUP(Tab_NewTRADER[[#This Row],[ClickTick]],TabCalc[Ticker],TabCalc[Max_Buy_P]), -Tab_NewTRADER[[#This Row],[Buy_Back]], 0)</f>
        <v>9226.199349999999</v>
      </c>
      <c r="AL38" s="1177" t="str" cm="1">
        <f t="array" aca="1" ref="AL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8" s="1177">
        <f ca="1">Tab_NewTRADER[[#This Row],[N]]*(Tab_NewTRADER[[#This Row],[M]]-Tab_NewTRADER[[#This Row],[A]])*(1-Commission)*Tab_NewTRADER[[#This Row],[Scale]]</f>
        <v>-15946.936549333312</v>
      </c>
      <c r="AN38" s="1177">
        <f ca="1">Tab_NewTRADER[[#This Row],[M]]*Tab_NewTRADER[[#This Row],[N]]*(1-Commission)*Tab_NewTRADER[[#This Row],[Scale]]</f>
        <v>241017.22170000002</v>
      </c>
      <c r="AO38" s="1186" cm="1">
        <f t="array" aca="1" ref="AO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0.40794928335170894</v>
      </c>
      <c r="AP38" s="1186" t="str" cm="1">
        <f t="array" aca="1" ref="AP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8" s="825" t="str" cm="1">
        <f t="array" aca="1" ref="AQ38" ca="1">_xlfn.IFS(   Tab_NewTRADER[[#This Row],[Trap_vs_Last]]=SellMorePercentGain,                     MIN(Tab_NewTRADER[[#This Row],[L_Sn]],Tab_NewTRADER[[#This Row],[N]])*(Tab_NewTRADER[[#This Row],[M]]-Tab_NewTRADER[[#This Row],[L_Sp]])*(1-Commission)*Tab_NewTRADER[[#This Row],[Scale]],                    TRUE,"")</f>
        <v/>
      </c>
      <c r="AR38" s="1175">
        <f ca="1">_xlfn.XLOOKUP(Tab_NewTRADER[[#This Row],[ClickTick]],TabCalc[Ticker],TabCalc[Ann%RevLB])</f>
        <v>0.13015625000000011</v>
      </c>
      <c r="AS38" s="1282">
        <f ca="1">_xlfn.XLOOKUP(Tab_NewTRADER[[#This Row],[ClickTick]],TabCalc[Ticker],TabCalc[Up20])</f>
        <v>0</v>
      </c>
      <c r="AT38" s="1187" t="str" cm="1">
        <f t="array" aca="1" ref="AT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8" s="825" t="str" cm="1">
        <f t="array" aca="1" ref="AU38" ca="1">_xlfn.IFS(         Tab_NewTRADER[[#This Row],[Trap_vs_Last]]=MDown,Tab_NewTRADER[[#This Row],[L_Bn]]*Tab_NewTRADER[[#This Row],[M]]*(-(Tab_NewTRADER[[#This Row],[L_Bp]]+Tab_NewTRADER[[#This Row],[M]])/Tab_NewTRADER[[#This Row],[M]])*(1-Commission)*Tab_NewTRADER[[#This Row],[Scale]],                               TRUE,"")</f>
        <v/>
      </c>
      <c r="AV38" s="1186" t="str" cm="1">
        <f t="array" aca="1" ref="AV38" ca="1">_xlfn.IFS(   Tab_NewTRADER[[#This Row],[Trap_vs_Last]]=MUp,Tab_NewTRADER[[#This Row],[TakeGain_A]]-Commission,        Tab_NewTRADER[[#This Row],[Trap_vs_Last]]=MDown,(Tab_NewTRADER[[#This Row],[A]]-Tab_NewTRADER[[#This Row],[M]])/Tab_NewTRADER[[#This Row],[M]]-Commission,                              TRUE,"")</f>
        <v/>
      </c>
      <c r="AW38" s="825" cm="1">
        <f t="array" aca="1" ref="AW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-15946.936549333312</v>
      </c>
      <c r="AX38" s="760" t="str" cm="1">
        <f t="array" aca="1" ref="AX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Y38" s="736" t="str" cm="1">
        <f t="array" aca="1" ref="AY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8" s="765" cm="1">
        <f t="array" aca="1" ref="AZ38" ca="1">_xlfn.IFS(Tab_NewTRADER[[#This Row],[Trap_vs_Last]]=ReSaleGain,"",         Tab_NewTRADER[[#This Row],[Trap_vs_Last]]=MDown, (Tab_NewTRADER[[#This Row],[M]]-Tab_NewTRADER[[#This Row],[A]])/Tab_NewTRADER[[#This Row],[A]]*ComFactor,             TRUE, IFERROR((Tab_NewTRADER[[#This Row],[M]]-Tab_NewTRADER[[#This Row],[A]])/Tab_NewTRADER[[#This Row],[A]]*ComFactor,""))</f>
        <v>-6.1897638264679318E-2</v>
      </c>
      <c r="BA38" s="762" cm="1">
        <f t="array" aca="1" ref="BA38" ca="1">_xlfn.IFS(               Tab_NewTRADER[[#This Row],[Trap_vs_Last]]=NoStock,(Tab_NewTRADER[[#This Row],[L_Sp]]-Tab_NewTRADER[[#This Row],[M]])/Tab_NewTRADER[[#This Row],[M]]-Commission,             Tab_NewTRADER[[#This Row],[A]]&lt;&gt;0,(Tab_NewTRADER[[#This Row],[A]]-Tab_NewTRADER[[#This Row],[M]])/Tab_NewTRADER[[#This Row],[M]]-Commission)</f>
        <v>6.3565133084070025E-2</v>
      </c>
      <c r="BB38" s="324">
        <f ca="1">_xlfn.XLOOKUP(Tab_NewTRADER[[#This Row],[ClickTick]],TabCalc[Ticker],TabCalc[L_Sn])</f>
        <v>2500</v>
      </c>
      <c r="BC38" s="728">
        <f ca="1">_xlfn.XLOOKUP(Tab_NewTRADER[[#This Row],[ClickTick]],TabCalc[Ticker],TabCalc[L_Sp])</f>
        <v>9.07</v>
      </c>
      <c r="BD38" s="764">
        <f ca="1">-IFERROR((Tab_NewTRADER[[#This Row],[M]]-Tab_NewTRADER[[#This Row],[L_Sp]])/Tab_NewTRADER[[#This Row],[L_Sp]],0)</f>
        <v>0.40794928335170894</v>
      </c>
      <c r="BE38" s="729">
        <f ca="1">MIN(Tab_NewTRADER[[#This Row],[L_Sn]],Tab_NewTRADER[[#This Row],[N]])*(Tab_NewTRADER[[#This Row],[M]]-Tab_NewTRADER[[#This Row],[L_Sp]])*(1-Commission)*Tab_NewTRADER[[#This Row],[Scale]]</f>
        <v>-9226.199349999999</v>
      </c>
      <c r="BF38" s="692">
        <f ca="1">Tab_NewTRADER[[#This Row],[L_Sn]]*(Tab_NewTRADER[[#This Row],[Agiotage]]-Tab_NewTRADER[[#This Row],[M]])/(Tab_NewTRADER[[#This Row],[L_Bn]]*Tab_NewTRADER[[#This Row],[M]])</f>
        <v>-0.89786926308695758</v>
      </c>
      <c r="BG38" s="635">
        <f ca="1">IFERROR((Tab_NewTRADER[[#This Row],[M]]-Tab_NewTRADER[[#This Row],[A]])/Tab_NewTRADER[[#This Row],[A]],0)</f>
        <v>-6.2058991642950992E-2</v>
      </c>
      <c r="BH38" s="638" t="str">
        <f ca="1">TEXT(_xlfn.XLOOKUP(Tab_NewTRADER[[#This Row],[ClickTick]],TabCalc[Ticker],TabCalc[NAfter]),"#,#0")&amp;" : "&amp;TEXT(_xlfn.XLOOKUP(Tab_NewTRADER[[#This Row],[ClickTick]],TabCalc[Ticker],TabCalc[NAfter])*(Tab_NewTRADER[[#This Row],[M]]-Tab_NewTRADER[[#This Row],[A]])*(1-Commission)*Tab_NewTRADER[[#This Row],[Scale]],"#,#0$")</f>
        <v>45,000 : -15,947$</v>
      </c>
      <c r="BI38" s="684">
        <f ca="1">_xlfn.XLOOKUP(Tab_NewTRADER[[#This Row],[ClickTick]],TabCalc[[#This Row],[Ticker]],TabCalc[[#This Row],[GL]])*(1-Commission)</f>
        <v>-13601.55377399998</v>
      </c>
      <c r="BJ38" s="684"/>
      <c r="BK38" s="669" t="str">
        <f ca="1">Tab_NewTRADER[[#This Row],[ClickTick]]&amp;": "&amp;_xlfn.XLOOKUP(Tab_NewTRADER[[#This Row],[ClickTick]],TabCalc[Ticker],TabCalc[Pile?])</f>
        <v xml:space="preserve">POET: </v>
      </c>
      <c r="BL38" s="351" t="s">
        <v>1976</v>
      </c>
      <c r="BM38" s="755" t="str" cm="1">
        <f t="array" aca="1" ref="BM38" ca="1">_xlfn.TEXTJOIN("",,INDEX({"M","A","Y"}, _xlfn.SORTBY({1,2,3}, -CHOOSE({1,2,3}, Tab_NewTRADER[[#This Row],[M]], Tab_NewTRADER[[#This Row],[A]], Tab_NewTRADER[[#This Row],[Agiotage]]))))</f>
        <v>AMY</v>
      </c>
      <c r="BN38" s="909" t="str" cm="1">
        <f t="array" aca="1" ref="BN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8" s="679" t="e">
        <f ca="1">Tab_NewTRADER[[#This Row],[L_Sn]]*Tab_NewTRADER[[#This Row],[L_Sp]]+Tab_NewTRADER[[#This Row],[SellMore]]*Tab_NewTRADER[[#This Row],[M]]</f>
        <v>#N/A</v>
      </c>
      <c r="BP38" s="679" t="e">
        <f ca="1">INDEX(
  INDEX(TabConsolid[], , _xlfn.XMATCH(Tab_NewTRADER[[#This Row],[ClickTick]]&amp;1, TabConsolid[#Headers])),
  MATCH(
    -Tab_NewTRADER[[#This Row],[M]],
    INDEX(TabConsolid[], , _xlfn.XMATCH(Tab_NewTRADER[[#This Row],[ClickTick]]&amp;2, TabConsolid[#Headers])),
    -1
  )
)</f>
        <v>#N/A</v>
      </c>
      <c r="BQ38" s="679" cm="1">
        <f t="array" aca="1" ref="BQ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R38" s="1156" t="e">
        <f ca="1">Tab_NewTRADER[[#This Row],[ReBuy]]/(Tab_NewTRADER[[#This Row],[L_Sn]]+Tab_NewTRADER[[#This Row],[SellMore]])</f>
        <v>#N/A</v>
      </c>
      <c r="BS38" s="687">
        <f ca="1">((_xlfn.XLOOKUP(Tab_NewTRADER[[#This Row],[ClickTick]],TabCalc[Ticker],TabCalc[NAfter])+Tab_NewTRADER[[#This Row],[L_Sn]])*(Tab_NewTRADER[[#This Row],[Agiotage]]-Tab_NewTRADER[[#This Row],[M]]))/(Tab_NewTRADER[[#This Row],[L_Sn]]*_xlfn.XLOOKUP(Tab_NewTRADER[[#This Row],[ClickTick]],TabCalc[Ticker],TabCalc[NAfter]))</f>
        <v>-2.0357309991369428E-3</v>
      </c>
      <c r="BT38" s="687">
        <f ca="1">(Tab_NewTRADER[[#This Row],[M]]-Tab_NewTRADER[[#This Row],[Agiotage]])/(Tab_NewTRADER[[#This Row],[M]]-Tab_NewTRADER[[#This Row],[A]])-1</f>
        <v>-14.570127062936857</v>
      </c>
      <c r="BU38" s="1277">
        <f ca="1">_xlfn.XMATCH(Tab_NewTRADER[[#This Row],[ClickTick]]&amp;1, TabConsolid[#Headers])</f>
        <v>107</v>
      </c>
      <c r="BV38" t="b">
        <f ca="1">IF(ABS(Tab_NewTRADER[[#This Row],[L_Bp]])&gt;=Tab_NewTRADER[[#This Row],[M]],"OK")</f>
        <v>0</v>
      </c>
    </row>
    <row r="39" spans="1:74"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-3,216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-81.1%</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-571$</v>
      </c>
      <c r="G39" s="225" t="str">
        <f ca="1">IFERROR(TRUNC(_xlfn.XLOOKUP(Tab_NewTRADER[[#This Row],[ClickTick]],TabCalc[Ticker],ListLastSalep),2)&amp;"x"&amp;_xlfn.XLOOKUP(Tab_NewTRADER[[#This Row],[ClickTick]],TabCalc[Ticker],ListLastSalen)&amp;"=   "&amp;TEXT(-_xlfn.XLOOKUP(Tab_NewTRADER[[#This Row],[ClickTick]],TabCalc[Ticker],ListReverseB),"#,#0")&amp;"$","")</f>
        <v>1.54x3006=   -2,645$</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133.3% = 5,682</v>
      </c>
      <c r="I39" s="226" t="str">
        <f ca="1">IFERROR(TRUNC(TabCalc[[#This Row],[L_S1p]],2)&amp;"x"&amp;TabCalc[[#This Row],[L_S1n]]&amp;"=   "&amp;TEXT(TabCalc[[#This Row],[ReverseB1]],"#,#0"),"")</f>
        <v>1.39x3006=   2,194</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4620</v>
      </c>
      <c r="M39" s="323">
        <f ca="1">_xlfn.XLOOKUP(Tab_NewTRADER[[#This Row],[ClickTick]],TabCalc[Ticker],TabCalc[Agiotage])</f>
        <v>0.20576201264667096</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-0.4479297365119197</v>
      </c>
      <c r="S39" s="683">
        <f ca="1">_xlfn.XLOOKUP(Tab_NewTRADER[[#This Row],[ClickTick]],TabCalc[Ticker],TabCalc[Rev(MinStock)])*(1-Commission)</f>
        <v>-3207.8508461999995</v>
      </c>
      <c r="T39" s="782">
        <f ca="1">_xlfn.XLOOKUP(Tab_NewTRADER[[#This Row],[ClickTick]],TabCalc[Ticker],TabCalc[Agiotage])</f>
        <v>0.20576201264667096</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93/93=&gt;-3.2% / -3.2%</v>
      </c>
      <c r="V39" s="739" t="str">
        <f ca="1">_xlfn.XLOOKUP(Tab_NewTRADER[[#This Row],[ClickTick]],[1]!RTData[Ticker_Symbol],[1]!RTData[Currency])</f>
        <v>USD</v>
      </c>
      <c r="W39" s="749">
        <f ca="1">_xlfn.XLOOKUP(Tab_NewTRADER[[#This Row],[ClickTick]],TabCalc[Ticker],TabCalc[M])</f>
        <v>0.66</v>
      </c>
      <c r="X39" s="1343"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-8/7 K$</v>
      </c>
      <c r="AE39" s="1195" t="str" cm="1">
        <f t="array" aca="1" ref="AE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9" s="1177" t="str" cm="1">
        <f t="array" aca="1" ref="AF39" ca="1">_xlfn.IFS(       Tab_NewTRADER[[#This Row],[Trap_vs_Last]]=RePurchaseGain,TEXT(Tab_NewTRADER[[#This Row],[L_Sn]],"#,#0")&amp;" x "&amp;TEXT(Tab_NewTRADER[[#This Row],[L_Sp]],"#,#0.#0"),     Tab_NewTRADER[[#This Row],[Trap_vs_Last]]=ReSaleGain,Tab_NewTRADER[[#This Row],[ToSell]],               TRUE,"")</f>
        <v/>
      </c>
      <c r="AG39" s="1177" t="str" cm="1">
        <f t="array" aca="1" ref="AG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H39" s="1370" t="str">
        <f ca="1">TEXT(MIN(Tab_NewTRADER[[#This Row],[L_Bn]],Tab_NewTRADER[[#This Row],[N]]),"#,#0")&amp;" x "&amp;TEXT(Tab_NewTRADER[[#This Row],[L_Bp]],"#,#0.#0")</f>
        <v>6,006 x -1.20</v>
      </c>
      <c r="AI39" s="1370">
        <f ca="1">IF(Tab_NewTRADER[[#This Row],[M]]&lt;_xlfn.XLOOKUP(Tab_NewTRADER[[#This Row],[ClickTick]],TabCalc[Ticker],TabCalc[Max_Buy_P]), 0,Tab_NewTRADER[[#This Row],[Sale_Back_$]])</f>
        <v>0</v>
      </c>
      <c r="AJ39" s="1370" t="str">
        <f ca="1">TEXT(Tab_NewTRADER[[#This Row],[L_Sn]],"#,#0")&amp;" ("&amp;Tab_NewTRADER[[#This Row],[M]]&amp;"/"&amp;TEXT(Tab_NewTRADER[[#This Row],[L_Sp]],"#,#0.#0)")</f>
        <v>3,006 (0.66/1.54)</v>
      </c>
      <c r="AK39" s="1370">
        <f ca="1">IF(Tab_NewTRADER[[#This Row],[M]]&lt;_xlfn.XLOOKUP(Tab_NewTRADER[[#This Row],[ClickTick]],TabCalc[Ticker],TabCalc[Max_Buy_P]), -Tab_NewTRADER[[#This Row],[Buy_Back]], 0)</f>
        <v>2638.4022720000003</v>
      </c>
      <c r="AL39" s="1177" cm="1">
        <f t="array" aca="1" ref="AL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3207.8508461999995</v>
      </c>
      <c r="AM39" s="1177">
        <f ca="1">Tab_NewTRADER[[#This Row],[N]]*(Tab_NewTRADER[[#This Row],[M]]-Tab_NewTRADER[[#This Row],[A]])*(1-Commission)*Tab_NewTRADER[[#This Row],[Scale]]</f>
        <v>-4052.8353594799992</v>
      </c>
      <c r="AN39" s="1177">
        <f ca="1">Tab_NewTRADER[[#This Row],[M]]*Tab_NewTRADER[[#This Row],[N]]*(1-Commission)*Tab_NewTRADER[[#This Row],[Scale]]</f>
        <v>6582.84</v>
      </c>
      <c r="AO39" s="1186" cm="1">
        <f t="array" aca="1" ref="AO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0.38106046137141131</v>
      </c>
      <c r="AP39" s="1186" cm="1">
        <f t="array" aca="1" ref="AP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0.80876363636363624</v>
      </c>
      <c r="AQ39" s="825" t="str" cm="1">
        <f t="array" aca="1" ref="AQ39" ca="1">_xlfn.IFS(   Tab_NewTRADER[[#This Row],[Trap_vs_Last]]=SellMorePercentGain,                     MIN(Tab_NewTRADER[[#This Row],[L_Sn]],Tab_NewTRADER[[#This Row],[N]])*(Tab_NewTRADER[[#This Row],[M]]-Tab_NewTRADER[[#This Row],[L_Sp]])*(1-Commission)*Tab_NewTRADER[[#This Row],[Scale]],                    TRUE,"")</f>
        <v/>
      </c>
      <c r="AR39" s="1175">
        <f ca="1">_xlfn.XLOOKUP(Tab_NewTRADER[[#This Row],[ClickTick]],TabCalc[Ticker],TabCalc[Ann%RevLB])</f>
        <v>-0.5579747582847443</v>
      </c>
      <c r="AS39" s="1282">
        <f ca="1">_xlfn.XLOOKUP(Tab_NewTRADER[[#This Row],[ClickTick]],TabCalc[Ticker],TabCalc[Up20])</f>
        <v>0</v>
      </c>
      <c r="AT39" s="1187" cm="1">
        <f t="array" aca="1" ref="AT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0.81136363636363629</v>
      </c>
      <c r="AU39" s="825" cm="1">
        <f t="array" aca="1" ref="AU39" ca="1">_xlfn.IFS(         Tab_NewTRADER[[#This Row],[Trap_vs_Last]]=MDown,Tab_NewTRADER[[#This Row],[L_Bn]]*Tab_NewTRADER[[#This Row],[M]]*(-(Tab_NewTRADER[[#This Row],[L_Bp]]+Tab_NewTRADER[[#This Row],[M]])/Tab_NewTRADER[[#This Row],[M]])*(1-Commission)*Tab_NewTRADER[[#This Row],[Scale]],                               TRUE,"")</f>
        <v>3207.8508461999995</v>
      </c>
      <c r="AV39" s="1186" cm="1">
        <f t="array" aca="1" ref="AV39" ca="1">_xlfn.IFS(   Tab_NewTRADER[[#This Row],[Trap_vs_Last]]=MUp,Tab_NewTRADER[[#This Row],[TakeGain_A]]-Commission,        Tab_NewTRADER[[#This Row],[Trap_vs_Last]]=MDown,(Tab_NewTRADER[[#This Row],[A]]-Tab_NewTRADER[[#This Row],[M]])/Tab_NewTRADER[[#This Row],[M]]-Commission,                              TRUE,"")</f>
        <v>0.61306669696969673</v>
      </c>
      <c r="AW39" s="760" cm="1">
        <f t="array" aca="1" ref="AW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4052.8353594799992</v>
      </c>
      <c r="AX39" s="760" t="str" cm="1">
        <f t="array" aca="1" ref="AX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Y39" s="736" cm="1">
        <f t="array" aca="1" ref="AY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-0.53</v>
      </c>
      <c r="AZ39" s="765" cm="1">
        <f t="array" aca="1" ref="AZ39" ca="1">_xlfn.IFS(Tab_NewTRADER[[#This Row],[Trap_vs_Last]]=ReSaleGain,"",         Tab_NewTRADER[[#This Row],[Trap_vs_Last]]=MDown, (Tab_NewTRADER[[#This Row],[M]]-Tab_NewTRADER[[#This Row],[A]])/Tab_NewTRADER[[#This Row],[A]]*ComFactor,             TRUE, IFERROR((Tab_NewTRADER[[#This Row],[M]]-Tab_NewTRADER[[#This Row],[A]])/Tab_NewTRADER[[#This Row],[A]]*ComFactor,""))</f>
        <v>-0.3800697041718456</v>
      </c>
      <c r="BA39" s="762" cm="1">
        <f t="array" aca="1" ref="BA39" ca="1">_xlfn.IFS(               Tab_NewTRADER[[#This Row],[Trap_vs_Last]]=NoStock,(Tab_NewTRADER[[#This Row],[L_Sp]]-Tab_NewTRADER[[#This Row],[M]])/Tab_NewTRADER[[#This Row],[M]]-Commission,             Tab_NewTRADER[[#This Row],[A]]&lt;&gt;0,(Tab_NewTRADER[[#This Row],[A]]-Tab_NewTRADER[[#This Row],[M]])/Tab_NewTRADER[[#This Row],[M]]-Commission)</f>
        <v>0.61306669696969673</v>
      </c>
      <c r="BB39" s="324">
        <f ca="1">_xlfn.XLOOKUP(Tab_NewTRADER[[#This Row],[ClickTick]],TabCalc[Ticker],TabCalc[L_Sn])</f>
        <v>3006</v>
      </c>
      <c r="BC39" s="728">
        <f ca="1">_xlfn.XLOOKUP(Tab_NewTRADER[[#This Row],[ClickTick]],TabCalc[Ticker],TabCalc[L_Sp])</f>
        <v>1.54</v>
      </c>
      <c r="BD39" s="764">
        <f ca="1">-IFERROR((Tab_NewTRADER[[#This Row],[M]]-Tab_NewTRADER[[#This Row],[L_Sp]])/Tab_NewTRADER[[#This Row],[L_Sp]],0)</f>
        <v>0.5714285714285714</v>
      </c>
      <c r="BE39" s="729">
        <f ca="1">MIN(Tab_NewTRADER[[#This Row],[L_Sn]],Tab_NewTRADER[[#This Row],[N]])*(Tab_NewTRADER[[#This Row],[M]]-Tab_NewTRADER[[#This Row],[L_Sp]])*(1-Commission)*Tab_NewTRADER[[#This Row],[Scale]]</f>
        <v>-2638.4022720000003</v>
      </c>
      <c r="BF39" s="692">
        <f ca="1">Tab_NewTRADER[[#This Row],[L_Sn]]*(Tab_NewTRADER[[#This Row],[Agiotage]]-Tab_NewTRADER[[#This Row],[M]])/(Tab_NewTRADER[[#This Row],[L_Bn]]*Tab_NewTRADER[[#This Row],[M]])</f>
        <v>-0.34446346330036309</v>
      </c>
      <c r="BG39" s="635">
        <f ca="1">IFERROR((Tab_NewTRADER[[#This Row],[M]]-Tab_NewTRADER[[#This Row],[A]])/Tab_NewTRADER[[#This Row],[A]],0)</f>
        <v>-0.38106046137141131</v>
      </c>
      <c r="BH39" s="638" t="str">
        <f ca="1">TEXT(_xlfn.XLOOKUP(Tab_NewTRADER[[#This Row],[ClickTick]],TabCalc[Ticker],TabCalc[NAfter]),"#,#0")&amp;" : "&amp;TEXT(_xlfn.XLOOKUP(Tab_NewTRADER[[#This Row],[ClickTick]],TabCalc[Ticker],TabCalc[NAfter])*(Tab_NewTRADER[[#This Row],[M]]-Tab_NewTRADER[[#This Row],[A]])*(1-Commission)*Tab_NewTRADER[[#This Row],[Scale]],"#,#0$")</f>
        <v>10,000 : -4,053$</v>
      </c>
      <c r="BI39" s="684">
        <f ca="1">_xlfn.XLOOKUP(Tab_NewTRADER[[#This Row],[ClickTick]],TabCalc[[#This Row],[Ticker]],TabCalc[[#This Row],[GL]])*(1-Commission)</f>
        <v>-7889.5766281999959</v>
      </c>
      <c r="BJ39" s="684"/>
      <c r="BK39" s="669" t="str">
        <f ca="1">Tab_NewTRADER[[#This Row],[ClickTick]]&amp;": "&amp;_xlfn.XLOOKUP(Tab_NewTRADER[[#This Row],[ClickTick]],TabCalc[Ticker],TabCalc[Pile?])</f>
        <v>PW: Pile</v>
      </c>
      <c r="BL39" s="351" t="s">
        <v>1986</v>
      </c>
      <c r="BM39" s="755" t="str" cm="1">
        <f t="array" aca="1" ref="BM39" ca="1">_xlfn.TEXTJOIN("",,INDEX({"M","A","Y"}, _xlfn.SORTBY({1,2,3}, -CHOOSE({1,2,3}, Tab_NewTRADER[[#This Row],[M]], Tab_NewTRADER[[#This Row],[A]], Tab_NewTRADER[[#This Row],[Agiotage]]))))</f>
        <v>AMY</v>
      </c>
      <c r="BN39" s="909" cm="1">
        <f t="array" aca="1" ref="BN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0.81136363636363629</v>
      </c>
      <c r="BO39" s="679" t="e">
        <f ca="1">Tab_NewTRADER[[#This Row],[L_Sn]]*Tab_NewTRADER[[#This Row],[L_Sp]]+Tab_NewTRADER[[#This Row],[SellMore]]*Tab_NewTRADER[[#This Row],[M]]</f>
        <v>#N/A</v>
      </c>
      <c r="BP39" s="679" t="e">
        <f ca="1">INDEX(
  INDEX(TabConsolid[], , _xlfn.XMATCH(Tab_NewTRADER[[#This Row],[ClickTick]]&amp;1, TabConsolid[#Headers])),
  MATCH(
    -Tab_NewTRADER[[#This Row],[M]],
    INDEX(TabConsolid[], , _xlfn.XMATCH(Tab_NewTRADER[[#This Row],[ClickTick]]&amp;2, TabConsolid[#Headers])),
    -1
  )
)</f>
        <v>#N/A</v>
      </c>
      <c r="BQ39" s="679" cm="1">
        <f t="array" aca="1" ref="BQ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R39" s="1156" t="e">
        <f ca="1">Tab_NewTRADER[[#This Row],[ReBuy]]/(Tab_NewTRADER[[#This Row],[L_Sn]]+Tab_NewTRADER[[#This Row],[SellMore]])</f>
        <v>#N/A</v>
      </c>
      <c r="BS39" s="687">
        <f ca="1">((_xlfn.XLOOKUP(Tab_NewTRADER[[#This Row],[ClickTick]],TabCalc[Ticker],TabCalc[NAfter])+Tab_NewTRADER[[#This Row],[L_Sn]])*(Tab_NewTRADER[[#This Row],[Agiotage]]-Tab_NewTRADER[[#This Row],[M]]))/(Tab_NewTRADER[[#This Row],[L_Sn]]*_xlfn.XLOOKUP(Tab_NewTRADER[[#This Row],[ClickTick]],TabCalc[Ticker],TabCalc[NAfter]))</f>
        <v>-1.9653424030330666E-4</v>
      </c>
      <c r="BT39" s="687">
        <f ca="1">(Tab_NewTRADER[[#This Row],[M]]-Tab_NewTRADER[[#This Row],[Agiotage]])/(Tab_NewTRADER[[#This Row],[M]]-Tab_NewTRADER[[#This Row],[A]])-1</f>
        <v>-2.1178765688728598</v>
      </c>
      <c r="BU39" s="1277">
        <f ca="1">_xlfn.XMATCH(Tab_NewTRADER[[#This Row],[ClickTick]]&amp;1, TabConsolid[#Headers])</f>
        <v>110</v>
      </c>
      <c r="BV39" t="str">
        <f ca="1">IF(ABS(Tab_NewTRADER[[#This Row],[L_Bp]])&gt;=Tab_NewTRADER[[#This Row],[M]],"OK")</f>
        <v>OK</v>
      </c>
    </row>
    <row r="40" spans="1:74"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+6,980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19.8%</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716/1,000=25,294</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2,632</v>
      </c>
      <c r="F40" s="226" t="str">
        <f ca="1">TRUNC(TabCalc[[#This Row],[L_B1p]],2)&amp;"x"&amp;TabCalc[[#This Row],[L_B1n]]&amp;"=   "&amp;TEXT(TabCalc[[#This Row],[ReverseS1]],"#,#0")&amp;"$"</f>
        <v>-28.54x2000=   6,765$</v>
      </c>
      <c r="G40" s="225" t="str">
        <f ca="1">IFERROR(TRUNC(_xlfn.XLOOKUP(Tab_NewTRADER[[#This Row],[ClickTick]],TabCalc[Ticker],ListLastSalep),2)&amp;"x"&amp;_xlfn.XLOOKUP(Tab_NewTRADER[[#This Row],[ClickTick]],TabCalc[Ticker],ListLastSalen)&amp;"=   "&amp;TEXT(-_xlfn.XLOOKUP(Tab_NewTRADER[[#This Row],[ClickTick]],TabCalc[Ticker],ListReverseB),"#,#0")&amp;"$","")</f>
        <v>37.21x2000=   -3,800$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2,632</v>
      </c>
      <c r="I40" s="226" t="str">
        <f ca="1">IFERROR(TRUNC(TabCalc[[#This Row],[L_S1p]],2)&amp;"x"&amp;TabCalc[[#This Row],[L_S1n]]&amp;"=   "&amp;TEXT(TabCalc[[#This Row],[ReverseB1]],"#,#0"),"")</f>
        <v>29.92x2000=   -10,780</v>
      </c>
      <c r="J40" s="295">
        <f ca="1">_xlfn.XLOOKUP(Tab_NewTRADER[[#This Row],[ClickTick]],TabCalc[Ticker],ListGravity)</f>
        <v>1.08562248654772</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0.80964531679843854</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0.24638192728556316</v>
      </c>
      <c r="S40" s="683">
        <f ca="1">_xlfn.XLOOKUP(Tab_NewTRADER[[#This Row],[ClickTick]],TabCalc[Ticker],TabCalc[Rev(MinStock)])*(1-Commission)</f>
        <v>6961.8520000000035</v>
      </c>
      <c r="T40" s="782">
        <f ca="1">_xlfn.XLOOKUP(Tab_NewTRADER[[#This Row],[ClickTick]],TabCalc[Ticker],TabCalc[Agiotage])</f>
        <v>0.80964531679843854</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-60/-60=&gt;-2.2% / -2.2%</v>
      </c>
      <c r="V40" s="739" t="str">
        <f ca="1">_xlfn.XLOOKUP(Tab_NewTRADER[[#This Row],[ClickTick]],[1]!RTData[Ticker_Symbol],[1]!RTData[Currency])</f>
        <v>USD</v>
      </c>
      <c r="W40" s="749">
        <f ca="1">_xlfn.XLOOKUP(Tab_NewTRADER[[#This Row],[ClickTick]],TabCalc[Ticker],TabCalc[M])</f>
        <v>35.31</v>
      </c>
      <c r="X40" s="1343"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^145 / 35 K$</v>
      </c>
      <c r="AE40" s="1173" t="str" cm="1">
        <f t="array" aca="1" ref="AE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0" s="1177" t="str" cm="1">
        <f t="array" aca="1" ref="AF40" ca="1">_xlfn.IFS(       Tab_NewTRADER[[#This Row],[Trap_vs_Last]]=RePurchaseGain,TEXT(Tab_NewTRADER[[#This Row],[L_Sn]],"#,#0")&amp;" x "&amp;TEXT(Tab_NewTRADER[[#This Row],[L_Sp]],"#,#0.#0"),     Tab_NewTRADER[[#This Row],[Trap_vs_Last]]=ReSaleGain,Tab_NewTRADER[[#This Row],[ToSell]],               TRUE,"")</f>
        <v>2,000 x 37.21</v>
      </c>
      <c r="AG40" s="1177" cm="1">
        <f t="array" aca="1" ref="AG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1895.0599999999986</v>
      </c>
      <c r="AH40" s="1370" t="str">
        <f ca="1">TEXT(MIN(Tab_NewTRADER[[#This Row],[L_Bn]],Tab_NewTRADER[[#This Row],[N]]),"#,#0")&amp;" x "&amp;TEXT(Tab_NewTRADER[[#This Row],[L_Bp]],"#,#0.#0")</f>
        <v>1,000 x -28.33</v>
      </c>
      <c r="AI40" s="1370">
        <f ca="1">IF(Tab_NewTRADER[[#This Row],[M]]&lt;_xlfn.XLOOKUP(Tab_NewTRADER[[#This Row],[ClickTick]],TabCalc[Ticker],TabCalc[Max_Buy_P]), 0,Tab_NewTRADER[[#This Row],[Sale_Back_$]])</f>
        <v>6961.8520000000035</v>
      </c>
      <c r="AJ40" s="1370" t="str">
        <f ca="1">TEXT(Tab_NewTRADER[[#This Row],[L_Sn]],"#,#0")&amp;" ("&amp;Tab_NewTRADER[[#This Row],[M]]&amp;"/"&amp;TEXT(Tab_NewTRADER[[#This Row],[L_Sp]],"#,#0.#0)")</f>
        <v>2,000 (35.31/37.21)</v>
      </c>
      <c r="AK40" s="1370">
        <f ca="1">IF(Tab_NewTRADER[[#This Row],[M]]&lt;_xlfn.XLOOKUP(Tab_NewTRADER[[#This Row],[ClickTick]],TabCalc[Ticker],TabCalc[Max_Buy_P]), -Tab_NewTRADER[[#This Row],[Buy_Back]], 0)</f>
        <v>0</v>
      </c>
      <c r="AL40" s="1177" t="str" cm="1">
        <f t="array" aca="1" ref="AL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0" s="1177">
        <f ca="1">Tab_NewTRADER[[#This Row],[N]]*(Tab_NewTRADER[[#This Row],[M]]-Tab_NewTRADER[[#This Row],[A]])*(1-Commission)*Tab_NewTRADER[[#This Row],[Scale]]</f>
        <v>6818.7284246666659</v>
      </c>
      <c r="AN40" s="1177">
        <f ca="1">Tab_NewTRADER[[#This Row],[M]]*Tab_NewTRADER[[#This Row],[N]]*(1-Commission)*Tab_NewTRADER[[#This Row],[Scale]]</f>
        <v>35218.193999999996</v>
      </c>
      <c r="AO40" s="1186" cm="1">
        <f t="array" aca="1" ref="AO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5.1061542596076287E-2</v>
      </c>
      <c r="AP40" s="1186" t="str" cm="1">
        <f t="array" aca="1" ref="AP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0" s="825" t="str" cm="1">
        <f t="array" aca="1" ref="AQ40" ca="1">_xlfn.IFS(   Tab_NewTRADER[[#This Row],[Trap_vs_Last]]=SellMorePercentGain,                     MIN(Tab_NewTRADER[[#This Row],[L_Sn]],Tab_NewTRADER[[#This Row],[N]])*(Tab_NewTRADER[[#This Row],[M]]-Tab_NewTRADER[[#This Row],[L_Sp]])*(1-Commission)*Tab_NewTRADER[[#This Row],[Scale]],                    TRUE,"")</f>
        <v/>
      </c>
      <c r="AR40" s="1175">
        <f ca="1">_xlfn.XLOOKUP(Tab_NewTRADER[[#This Row],[ClickTick]],TabCalc[Ticker],TabCalc[Ann%RevLB])</f>
        <v>29.565831274267577</v>
      </c>
      <c r="AS40" s="1282">
        <f ca="1">_xlfn.XLOOKUP(Tab_NewTRADER[[#This Row],[ClickTick]],TabCalc[Ticker],TabCalc[Up20])</f>
        <v>0</v>
      </c>
      <c r="AT40" s="1187" t="str" cm="1">
        <f t="array" aca="1" ref="AT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0" s="825" t="str" cm="1">
        <f t="array" aca="1" ref="AU40" ca="1">_xlfn.IFS(         Tab_NewTRADER[[#This Row],[Trap_vs_Last]]=MDown,Tab_NewTRADER[[#This Row],[L_Bn]]*Tab_NewTRADER[[#This Row],[M]]*(-(Tab_NewTRADER[[#This Row],[L_Bp]]+Tab_NewTRADER[[#This Row],[M]])/Tab_NewTRADER[[#This Row],[M]])*(1-Commission)*Tab_NewTRADER[[#This Row],[Scale]],                               TRUE,"")</f>
        <v/>
      </c>
      <c r="AV40" s="1186" t="str" cm="1">
        <f t="array" aca="1" ref="AV40" ca="1">_xlfn.IFS(   Tab_NewTRADER[[#This Row],[Trap_vs_Last]]=MUp,Tab_NewTRADER[[#This Row],[TakeGain_A]]-Commission,        Tab_NewTRADER[[#This Row],[Trap_vs_Last]]=MDown,(Tab_NewTRADER[[#This Row],[A]]-Tab_NewTRADER[[#This Row],[M]])/Tab_NewTRADER[[#This Row],[M]]-Commission,                              TRUE,"")</f>
        <v/>
      </c>
      <c r="AW40" s="760" cm="1">
        <f t="array" aca="1" ref="AW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6818.7284246666659</v>
      </c>
      <c r="AX40" s="760" t="str" cm="1">
        <f t="array" aca="1" ref="AX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40" s="736" t="str" cm="1">
        <f t="array" aca="1" ref="AY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0" s="765" cm="1">
        <f t="array" aca="1" ref="AZ40" ca="1">_xlfn.IFS(Tab_NewTRADER[[#This Row],[Trap_vs_Last]]=ReSaleGain,"",         Tab_NewTRADER[[#This Row],[Trap_vs_Last]]=MDown, (Tab_NewTRADER[[#This Row],[M]]-Tab_NewTRADER[[#This Row],[A]])/Tab_NewTRADER[[#This Row],[A]]*ComFactor,             TRUE, IFERROR((Tab_NewTRADER[[#This Row],[M]]-Tab_NewTRADER[[#This Row],[A]])/Tab_NewTRADER[[#This Row],[A]]*ComFactor,""))</f>
        <v>0.23947632791617088</v>
      </c>
      <c r="BA40" s="762" cm="1">
        <f t="array" aca="1" ref="BA40" ca="1">_xlfn.IFS(               Tab_NewTRADER[[#This Row],[Trap_vs_Last]]=NoStock,(Tab_NewTRADER[[#This Row],[L_Sp]]-Tab_NewTRADER[[#This Row],[M]])/Tab_NewTRADER[[#This Row],[M]]-Commission,             Tab_NewTRADER[[#This Row],[A]]&lt;&gt;0,(Tab_NewTRADER[[#This Row],[A]]-Tab_NewTRADER[[#This Row],[M]])/Tab_NewTRADER[[#This Row],[M]]-Commission)</f>
        <v>-0.19621380156707255</v>
      </c>
      <c r="BB40" s="324">
        <f ca="1">_xlfn.XLOOKUP(Tab_NewTRADER[[#This Row],[ClickTick]],TabCalc[Ticker],TabCalc[L_Sn])</f>
        <v>2000</v>
      </c>
      <c r="BC40" s="728">
        <f ca="1">_xlfn.XLOOKUP(Tab_NewTRADER[[#This Row],[ClickTick]],TabCalc[Ticker],TabCalc[L_Sp])</f>
        <v>37.21</v>
      </c>
      <c r="BD40" s="764">
        <f ca="1">-IFERROR((Tab_NewTRADER[[#This Row],[M]]-Tab_NewTRADER[[#This Row],[L_Sp]])/Tab_NewTRADER[[#This Row],[L_Sp]],0)</f>
        <v>5.1061542596076287E-2</v>
      </c>
      <c r="BE40" s="729">
        <f ca="1">MIN(Tab_NewTRADER[[#This Row],[L_Sn]],Tab_NewTRADER[[#This Row],[N]])*(Tab_NewTRADER[[#This Row],[M]]-Tab_NewTRADER[[#This Row],[L_Sp]])*(1-Commission)*Tab_NewTRADER[[#This Row],[Scale]]</f>
        <v>-1895.0599999999986</v>
      </c>
      <c r="BF40" s="692">
        <f ca="1">Tab_NewTRADER[[#This Row],[L_Sn]]*(Tab_NewTRADER[[#This Row],[Agiotage]]-Tab_NewTRADER[[#This Row],[M]])/(Tab_NewTRADER[[#This Row],[L_Bn]]*Tab_NewTRADER[[#This Row],[M]])</f>
        <v>-1.9541407353838325</v>
      </c>
      <c r="BG40" s="635">
        <f ca="1">IFERROR((Tab_NewTRADER[[#This Row],[M]]-Tab_NewTRADER[[#This Row],[A]])/Tab_NewTRADER[[#This Row],[A]],0)</f>
        <v>0.24010058944873761</v>
      </c>
      <c r="BH40" s="638" t="str">
        <f ca="1">TEXT(_xlfn.XLOOKUP(Tab_NewTRADER[[#This Row],[ClickTick]],TabCalc[Ticker],TabCalc[NAfter]),"#,#0")&amp;" : "&amp;TEXT(_xlfn.XLOOKUP(Tab_NewTRADER[[#This Row],[ClickTick]],TabCalc[Ticker],TabCalc[NAfter])*(Tab_NewTRADER[[#This Row],[M]]-Tab_NewTRADER[[#This Row],[A]])*(1-Commission)*Tab_NewTRADER[[#This Row],[Scale]],"#,#0$")</f>
        <v>1,000 : 6,819$</v>
      </c>
      <c r="BI40" s="684">
        <f ca="1">_xlfn.XLOOKUP(Tab_NewTRADER[[#This Row],[ClickTick]],TabCalc[[#This Row],[Ticker]],TabCalc[[#This Row],[GL]])*(1-Commission)</f>
        <v>145008.21582800013</v>
      </c>
      <c r="BJ40" s="684"/>
      <c r="BK40" s="669" t="str">
        <f ca="1">Tab_NewTRADER[[#This Row],[ClickTick]]&amp;": "&amp;_xlfn.XLOOKUP(Tab_NewTRADER[[#This Row],[ClickTick]],TabCalc[Ticker],TabCalc[Pile?])</f>
        <v xml:space="preserve">RIGL: </v>
      </c>
      <c r="BL40" s="351" t="s">
        <v>2045</v>
      </c>
      <c r="BM40" s="755" t="str" cm="1">
        <f t="array" aca="1" ref="BM40" ca="1">_xlfn.TEXTJOIN("",,INDEX({"M","A","Y"}, _xlfn.SORTBY({1,2,3}, -CHOOSE({1,2,3}, Tab_NewTRADER[[#This Row],[M]], Tab_NewTRADER[[#This Row],[A]], Tab_NewTRADER[[#This Row],[Agiotage]]))))</f>
        <v>MAY</v>
      </c>
      <c r="BN40" s="909" t="str" cm="1">
        <f t="array" aca="1" ref="BN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0" s="679">
        <f ca="1">Tab_NewTRADER[[#This Row],[L_Sn]]*Tab_NewTRADER[[#This Row],[L_Sp]]+Tab_NewTRADER[[#This Row],[SellMore]]*Tab_NewTRADER[[#This Row],[M]]</f>
        <v>145040</v>
      </c>
      <c r="BP40" s="679">
        <f ca="1">INDEX(
  INDEX(TabConsolid[], , _xlfn.XMATCH(Tab_NewTRADER[[#This Row],[ClickTick]]&amp;1, TabConsolid[#Headers])),
  MATCH(
    -Tab_NewTRADER[[#This Row],[M]],
    INDEX(TabConsolid[], , _xlfn.XMATCH(Tab_NewTRADER[[#This Row],[ClickTick]]&amp;2, TabConsolid[#Headers])),
    -1
  )
)</f>
        <v>2000</v>
      </c>
      <c r="BQ40" s="679" cm="1">
        <f t="array" aca="1" ref="BQ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40" s="1156">
        <f ca="1">Tab_NewTRADER[[#This Row],[ReBuy]]/(Tab_NewTRADER[[#This Row],[L_Sn]]+Tab_NewTRADER[[#This Row],[SellMore]])</f>
        <v>36.26</v>
      </c>
      <c r="BS40" s="687">
        <f ca="1">((_xlfn.XLOOKUP(Tab_NewTRADER[[#This Row],[ClickTick]],TabCalc[Ticker],TabCalc[NAfter])+Tab_NewTRADER[[#This Row],[L_Sn]])*(Tab_NewTRADER[[#This Row],[Agiotage]]-Tab_NewTRADER[[#This Row],[M]]))/(Tab_NewTRADER[[#This Row],[L_Sn]]*_xlfn.XLOOKUP(Tab_NewTRADER[[#This Row],[ClickTick]],TabCalc[Ticker],TabCalc[NAfter]))</f>
        <v>-5.175053202480235E-2</v>
      </c>
      <c r="BT40" s="687">
        <f ca="1">(Tab_NewTRADER[[#This Row],[M]]-Tab_NewTRADER[[#This Row],[Agiotage]])/(Tab_NewTRADER[[#This Row],[M]]-Tab_NewTRADER[[#This Row],[A]])-1</f>
        <v>4.0464913130350117</v>
      </c>
      <c r="BU40" s="1277">
        <f ca="1">_xlfn.XMATCH(Tab_NewTRADER[[#This Row],[ClickTick]]&amp;1, TabConsolid[#Headers])</f>
        <v>113</v>
      </c>
      <c r="BV40" t="b">
        <f ca="1">IF(ABS(Tab_NewTRADER[[#This Row],[L_Bp]])&gt;=Tab_NewTRADER[[#This Row],[M]],"OK")</f>
        <v>0</v>
      </c>
    </row>
    <row r="41" spans="1:74"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+727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33.9%</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684$</v>
      </c>
      <c r="G41" s="225" t="str">
        <f ca="1">IFERROR(TRUNC(_xlfn.XLOOKUP(Tab_NewTRADER[[#This Row],[ClickTick]],TabCalc[Ticker],ListLastSalep),2)&amp;"x"&amp;_xlfn.XLOOKUP(Tab_NewTRADER[[#This Row],[ClickTick]],TabCalc[Ticker],ListLastSalen)&amp;"=   "&amp;TEXT(-_xlfn.XLOOKUP(Tab_NewTRADER[[#This Row],[ClickTick]],TabCalc[Ticker],ListReverseB),"#,#0")&amp;"$","")</f>
        <v>33.36x3200=   30,560$</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-22.3% = 0</v>
      </c>
      <c r="I41" s="226" t="str">
        <f ca="1">IFERROR(TRUNC(TabCalc[[#This Row],[L_S1p]],2)&amp;"x"&amp;TabCalc[[#This Row],[L_S1n]]&amp;"=   "&amp;TEXT(TabCalc[[#This Row],[ReverseB1]],"#,#0"),"")</f>
        <v>32.24x1500=   -16,005</v>
      </c>
      <c r="J41" s="295">
        <f ca="1">_xlfn.XLOOKUP(Tab_NewTRADER[[#This Row],[ClickTick]],TabCalc[Ticker],ListGravity)</f>
        <v>1.0428119319505942</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4.4524727823072796E-3</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0.51251321818822682</v>
      </c>
      <c r="S41" s="683">
        <f ca="1">_xlfn.XLOOKUP(Tab_NewTRADER[[#This Row],[ClickTick]],TabCalc[Ticker],TabCalc[Rev(MinStock)])*(1-Commission)</f>
        <v>725.10979999999972</v>
      </c>
      <c r="T41" s="782">
        <f ca="1">_xlfn.XLOOKUP(Tab_NewTRADER[[#This Row],[ClickTick]],TabCalc[Ticker],TabCalc[Agiotage])</f>
        <v>4.4524727823072796E-3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-10/-10=&gt;-0.4% / -0.4%</v>
      </c>
      <c r="V41" s="739" t="str">
        <f ca="1">_xlfn.XLOOKUP(Tab_NewTRADER[[#This Row],[ClickTick]],[1]!RTData[Ticker_Symbol],[1]!RTData[Currency])</f>
        <v>EUR</v>
      </c>
      <c r="W41" s="749">
        <f ca="1">_xlfn.XLOOKUP(Tab_NewTRADER[[#This Row],[ClickTick]],TabCalc[Ticker],TabCalc[M])</f>
        <v>42.91</v>
      </c>
      <c r="X41" s="1343"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E41" s="1195" t="str" cm="1">
        <f t="array" aca="1" ref="AE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1" s="1177" t="str" cm="1">
        <f t="array" aca="1" ref="AF41" ca="1">_xlfn.IFS(       Tab_NewTRADER[[#This Row],[Trap_vs_Last]]=RePurchaseGain,TEXT(Tab_NewTRADER[[#This Row],[L_Sn]],"#,#0")&amp;" x "&amp;TEXT(Tab_NewTRADER[[#This Row],[L_Sp]],"#,#0.#0"),     Tab_NewTRADER[[#This Row],[Trap_vs_Last]]=ReSaleGain,Tab_NewTRADER[[#This Row],[ToSell]],               TRUE,"")</f>
        <v/>
      </c>
      <c r="AG41" s="1177" t="str" cm="1">
        <f t="array" aca="1" ref="AG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H41" s="1370" t="str">
        <f ca="1">TEXT(MIN(Tab_NewTRADER[[#This Row],[L_Bn]],Tab_NewTRADER[[#This Row],[N]]),"#,#0")&amp;" x "&amp;TEXT(Tab_NewTRADER[[#This Row],[L_Bp]],"#,#0.#0")</f>
        <v>50 x -28.37</v>
      </c>
      <c r="AI41" s="1370">
        <f ca="1">IF(Tab_NewTRADER[[#This Row],[M]]&lt;_xlfn.XLOOKUP(Tab_NewTRADER[[#This Row],[ClickTick]],TabCalc[Ticker],TabCalc[Max_Buy_P]), 0,Tab_NewTRADER[[#This Row],[Sale_Back_$]])</f>
        <v>725.10979999999972</v>
      </c>
      <c r="AJ41" s="1370" t="str">
        <f ca="1">TEXT(Tab_NewTRADER[[#This Row],[L_Sn]],"#,#0")&amp;" ("&amp;Tab_NewTRADER[[#This Row],[M]]&amp;"/"&amp;TEXT(Tab_NewTRADER[[#This Row],[L_Sp]],"#,#0.#0)")</f>
        <v>3,200 (42.91/33.36)</v>
      </c>
      <c r="AK41" s="1370">
        <f ca="1">IF(Tab_NewTRADER[[#This Row],[M]]&lt;_xlfn.XLOOKUP(Tab_NewTRADER[[#This Row],[ClickTick]],TabCalc[Ticker],TabCalc[Max_Buy_P]), -Tab_NewTRADER[[#This Row],[Buy_Back]], 0)</f>
        <v>0</v>
      </c>
      <c r="AL41" s="1177" cm="1">
        <f t="array" aca="1" ref="AL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476.25849999999986</v>
      </c>
      <c r="AM41" s="1177">
        <f ca="1">Tab_NewTRADER[[#This Row],[N]]*(Tab_NewTRADER[[#This Row],[M]]-Tab_NewTRADER[[#This Row],[A]])*(1-Commission)*Tab_NewTRADER[[#This Row],[Scale]]</f>
        <v>725.10979999999972</v>
      </c>
      <c r="AN41" s="1177">
        <f ca="1">Tab_NewTRADER[[#This Row],[M]]*Tab_NewTRADER[[#This Row],[N]]*(1-Commission)*Tab_NewTRADER[[#This Row],[Scale]]</f>
        <v>2139.9216999999999</v>
      </c>
      <c r="AO41" s="1186" cm="1">
        <f t="array" aca="1" ref="AO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0.51251321818822682</v>
      </c>
      <c r="AP41" s="1186" cm="1">
        <f t="array" aca="1" ref="AP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0.21995884409228614</v>
      </c>
      <c r="AQ41" s="825" cm="1">
        <f t="array" aca="1" ref="AQ41" ca="1">_xlfn.IFS(   Tab_NewTRADER[[#This Row],[Trap_vs_Last]]=SellMorePercentGain,                     MIN(Tab_NewTRADER[[#This Row],[L_Sn]],Tab_NewTRADER[[#This Row],[N]])*(Tab_NewTRADER[[#This Row],[M]]-Tab_NewTRADER[[#This Row],[L_Sp]])*(1-Commission)*Tab_NewTRADER[[#This Row],[Scale]],                    TRUE,"")</f>
        <v>476.25849999999986</v>
      </c>
      <c r="AR41" s="1175">
        <f ca="1">_xlfn.XLOOKUP(Tab_NewTRADER[[#This Row],[ClickTick]],TabCalc[Ticker],TabCalc[Ann%RevLB])</f>
        <v>0.70153900588502538</v>
      </c>
      <c r="AS41" s="1282">
        <f ca="1">_xlfn.XLOOKUP(Tab_NewTRADER[[#This Row],[ClickTick]],TabCalc[Ticker],TabCalc[Up20])</f>
        <v>0</v>
      </c>
      <c r="AT41" s="1187" t="str" cm="1">
        <f t="array" aca="1" ref="AT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1" s="825" t="str" cm="1">
        <f t="array" aca="1" ref="AU41" ca="1">_xlfn.IFS(         Tab_NewTRADER[[#This Row],[Trap_vs_Last]]=MDown,Tab_NewTRADER[[#This Row],[L_Bn]]*Tab_NewTRADER[[#This Row],[M]]*(-(Tab_NewTRADER[[#This Row],[L_Bp]]+Tab_NewTRADER[[#This Row],[M]])/Tab_NewTRADER[[#This Row],[M]])*(1-Commission)*Tab_NewTRADER[[#This Row],[Scale]],                               TRUE,"")</f>
        <v/>
      </c>
      <c r="AV41" s="1186" cm="1">
        <f t="array" aca="1" ref="AV41" ca="1">_xlfn.IFS(   Tab_NewTRADER[[#This Row],[Trap_vs_Last]]=MUp,Tab_NewTRADER[[#This Row],[TakeGain_A]]-Commission,        Tab_NewTRADER[[#This Row],[Trap_vs_Last]]=MDown,(Tab_NewTRADER[[#This Row],[A]]-Tab_NewTRADER[[#This Row],[M]])/Tab_NewTRADER[[#This Row],[M]]-Commission,                              TRUE,"")</f>
        <v>0.50991321818822677</v>
      </c>
      <c r="AW41" s="825" cm="1">
        <f t="array" aca="1" ref="AW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1096.7381571378212</v>
      </c>
      <c r="AX41" s="760" t="str" cm="1">
        <f t="array" aca="1" ref="AX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41" s="736" t="str" cm="1">
        <f t="array" aca="1" ref="AY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50x14.54</v>
      </c>
      <c r="AZ41" s="765" cm="1">
        <f t="array" aca="1" ref="AZ41" ca="1">_xlfn.IFS(Tab_NewTRADER[[#This Row],[Trap_vs_Last]]=ReSaleGain,"",         Tab_NewTRADER[[#This Row],[Trap_vs_Last]]=MDown, (Tab_NewTRADER[[#This Row],[M]]-Tab_NewTRADER[[#This Row],[A]])/Tab_NewTRADER[[#This Row],[A]]*ComFactor,             TRUE, IFERROR((Tab_NewTRADER[[#This Row],[M]]-Tab_NewTRADER[[#This Row],[A]])/Tab_NewTRADER[[#This Row],[A]]*ComFactor,""))</f>
        <v>0.5111806838209374</v>
      </c>
      <c r="BA41" s="762" cm="1">
        <f t="array" aca="1" ref="BA41" ca="1">_xlfn.IFS(               Tab_NewTRADER[[#This Row],[Trap_vs_Last]]=NoStock,(Tab_NewTRADER[[#This Row],[L_Sp]]-Tab_NewTRADER[[#This Row],[M]])/Tab_NewTRADER[[#This Row],[M]]-Commission,             Tab_NewTRADER[[#This Row],[A]]&lt;&gt;0,(Tab_NewTRADER[[#This Row],[A]]-Tab_NewTRADER[[#This Row],[M]])/Tab_NewTRADER[[#This Row],[M]]-Commission)</f>
        <v>-0.34144875320438117</v>
      </c>
      <c r="BB41" s="324">
        <f ca="1">_xlfn.XLOOKUP(Tab_NewTRADER[[#This Row],[ClickTick]],TabCalc[Ticker],TabCalc[L_Sn])</f>
        <v>3200</v>
      </c>
      <c r="BC41" s="728">
        <f ca="1">_xlfn.XLOOKUP(Tab_NewTRADER[[#This Row],[ClickTick]],TabCalc[Ticker],TabCalc[L_Sp])</f>
        <v>33.36</v>
      </c>
      <c r="BD41" s="764">
        <f ca="1">-IFERROR((Tab_NewTRADER[[#This Row],[M]]-Tab_NewTRADER[[#This Row],[L_Sp]])/Tab_NewTRADER[[#This Row],[L_Sp]],0)</f>
        <v>-0.2862709832134292</v>
      </c>
      <c r="BE41" s="729">
        <f ca="1">MIN(Tab_NewTRADER[[#This Row],[L_Sn]],Tab_NewTRADER[[#This Row],[N]])*(Tab_NewTRADER[[#This Row],[M]]-Tab_NewTRADER[[#This Row],[L_Sp]])*(1-Commission)*Tab_NewTRADER[[#This Row],[Scale]]</f>
        <v>476.25849999999986</v>
      </c>
      <c r="BF41" s="692">
        <f ca="1">Tab_NewTRADER[[#This Row],[L_Sn]]*(Tab_NewTRADER[[#This Row],[Agiotage]]-Tab_NewTRADER[[#This Row],[M]])/(Tab_NewTRADER[[#This Row],[L_Bn]]*Tab_NewTRADER[[#This Row],[M]])</f>
        <v>-0.79991698955428003</v>
      </c>
      <c r="BG41" s="635">
        <f ca="1">IFERROR((Tab_NewTRADER[[#This Row],[M]]-Tab_NewTRADER[[#This Row],[A]])/Tab_NewTRADER[[#This Row],[A]],0)</f>
        <v>0.51251321818822682</v>
      </c>
      <c r="BH41" s="638" t="str">
        <f ca="1">TEXT(_xlfn.XLOOKUP(Tab_NewTRADER[[#This Row],[ClickTick]],TabCalc[Ticker],TabCalc[NAfter]),"#,#0")&amp;" : "&amp;TEXT(_xlfn.XLOOKUP(Tab_NewTRADER[[#This Row],[ClickTick]],TabCalc[Ticker],TabCalc[NAfter])*(Tab_NewTRADER[[#This Row],[M]]-Tab_NewTRADER[[#This Row],[A]])*(1-Commission)*Tab_NewTRADER[[#This Row],[Scale]],"#,#0$")</f>
        <v>50 : 725$</v>
      </c>
      <c r="BI41" s="684">
        <f ca="1">_xlfn.XLOOKUP(Tab_NewTRADER[[#This Row],[ClickTick]],TabCalc[[#This Row],[Ticker]],TabCalc[[#This Row],[GL]])*(1-Commission)</f>
        <v>36184.527483499922</v>
      </c>
      <c r="BJ41" s="684"/>
      <c r="BK41" s="669" t="str">
        <f ca="1">Tab_NewTRADER[[#This Row],[ClickTick]]&amp;": "&amp;_xlfn.XLOOKUP(Tab_NewTRADER[[#This Row],[ClickTick]],TabCalc[Ticker],TabCalc[Pile?])</f>
        <v>RWE: Pile</v>
      </c>
      <c r="BL41" s="351" t="s">
        <v>2055</v>
      </c>
      <c r="BM41" s="755" t="str" cm="1">
        <f t="array" aca="1" ref="BM41" ca="1">_xlfn.TEXTJOIN("",,INDEX({"M","A","Y"}, _xlfn.SORTBY({1,2,3}, -CHOOSE({1,2,3}, Tab_NewTRADER[[#This Row],[M]], Tab_NewTRADER[[#This Row],[A]], Tab_NewTRADER[[#This Row],[Agiotage]]))))</f>
        <v>MAY</v>
      </c>
      <c r="BN41" s="909" cm="1">
        <f t="array" aca="1" ref="BN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0.22255884409228613</v>
      </c>
      <c r="BO41" s="679">
        <f ca="1">Tab_NewTRADER[[#This Row],[L_Sn]]*Tab_NewTRADER[[#This Row],[L_Sp]]+Tab_NewTRADER[[#This Row],[SellMore]]*Tab_NewTRADER[[#This Row],[M]]</f>
        <v>108897.5</v>
      </c>
      <c r="BP41" s="679">
        <f ca="1">INDEX(
  INDEX(TabConsolid[], , _xlfn.XMATCH(Tab_NewTRADER[[#This Row],[ClickTick]]&amp;1, TabConsolid[#Headers])),
  MATCH(
    -Tab_NewTRADER[[#This Row],[M]],
    INDEX(TabConsolid[], , _xlfn.XMATCH(Tab_NewTRADER[[#This Row],[ClickTick]]&amp;2, TabConsolid[#Headers])),
    -1
  )
)</f>
        <v>50</v>
      </c>
      <c r="BQ41" s="679" cm="1">
        <f t="array" aca="1" ref="BQ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1" s="1156">
        <f ca="1">Tab_NewTRADER[[#This Row],[ReBuy]]/(Tab_NewTRADER[[#This Row],[L_Sn]]+Tab_NewTRADER[[#This Row],[SellMore]])</f>
        <v>33.50692307692308</v>
      </c>
      <c r="BS41" s="687">
        <f ca="1">((_xlfn.XLOOKUP(Tab_NewTRADER[[#This Row],[ClickTick]],TabCalc[Ticker],TabCalc[NAfter])+Tab_NewTRADER[[#This Row],[L_Sn]])*(Tab_NewTRADER[[#This Row],[Agiotage]]-Tab_NewTRADER[[#This Row],[M]]))/(Tab_NewTRADER[[#This Row],[L_Sn]]*_xlfn.XLOOKUP(Tab_NewTRADER[[#This Row],[ClickTick]],TabCalc[Ticker],TabCalc[NAfter]))</f>
        <v>-0.8715189341466093</v>
      </c>
      <c r="BT41" s="687">
        <f ca="1">(Tab_NewTRADER[[#This Row],[M]]-Tab_NewTRADER[[#This Row],[Agiotage]])/(Tab_NewTRADER[[#This Row],[M]]-Tab_NewTRADER[[#This Row],[A]])-1</f>
        <v>1.9508629661085077</v>
      </c>
      <c r="BU41" s="1277">
        <f ca="1">_xlfn.XMATCH(Tab_NewTRADER[[#This Row],[ClickTick]]&amp;1, TabConsolid[#Headers])</f>
        <v>116</v>
      </c>
      <c r="BV41" t="b">
        <f ca="1">IF(ABS(Tab_NewTRADER[[#This Row],[L_Bp]])&gt;=Tab_NewTRADER[[#This Row],[M]],"OK")</f>
        <v>0</v>
      </c>
    </row>
    <row r="42" spans="1:74"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-8,350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-7.7%</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-11,900$</v>
      </c>
      <c r="G42" s="225" t="str">
        <f ca="1">IFERROR(TRUNC(_xlfn.XLOOKUP(Tab_NewTRADER[[#This Row],[ClickTick]],TabCalc[Ticker],ListLastSalep),2)&amp;"x"&amp;_xlfn.XLOOKUP(Tab_NewTRADER[[#This Row],[ClickTick]],TabCalc[Ticker],ListLastSalen)&amp;"=   "&amp;TEXT(-_xlfn.XLOOKUP(Tab_NewTRADER[[#This Row],[ClickTick]],TabCalc[Ticker],ListReverseB),"#,#0")&amp;"$","")</f>
        <v>237.8x200=   -4,430$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10.3% = 226</v>
      </c>
      <c r="I42" s="226" t="str">
        <f ca="1">IFERROR(TRUNC(TabCalc[[#This Row],[L_S1p]],2)&amp;"x"&amp;TabCalc[[#This Row],[L_S1n]]&amp;"=   "&amp;TEXT(TabCalc[[#This Row],[ReverseB1]],"#,#0"),"")</f>
        <v>265.05x500=   24,700</v>
      </c>
      <c r="J42" s="295">
        <f ca="1">_xlfn.XLOOKUP(Tab_NewTRADER[[#This Row],[ClickTick]],TabCalc[Ticker],ListGravity)</f>
        <v>1.3385893809413403</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495995</v>
      </c>
      <c r="M42" s="323">
        <f ca="1">_xlfn.XLOOKUP(Tab_NewTRADER[[#This Row],[ClickTick]],TabCalc[Ticker],TabCalc[Agiotage])</f>
        <v>1.1597733249552002</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-7.1874327523133164E-2</v>
      </c>
      <c r="S42" s="683">
        <f ca="1">_xlfn.XLOOKUP(Tab_NewTRADER[[#This Row],[ClickTick]],TabCalc[Ticker],TabCalc[Rev(MinStock)])*(1-Commission)</f>
        <v>-8328.2899999999936</v>
      </c>
      <c r="T42" s="782">
        <f ca="1">_xlfn.XLOOKUP(Tab_NewTRADER[[#This Row],[ClickTick]],TabCalc[Ticker],TabCalc[Agiotage])</f>
        <v>1.1597733249552002</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-15,200/-15,200=&gt;-1.1% / -1.1%</v>
      </c>
      <c r="V42" s="739" t="str">
        <f ca="1">_xlfn.XLOOKUP(Tab_NewTRADER[[#This Row],[ClickTick]],[1]!RTData[Ticker_Symbol],[1]!RTData[Currency])</f>
        <v>EUR</v>
      </c>
      <c r="W42" s="749">
        <f ca="1">_xlfn.XLOOKUP(Tab_NewTRADER[[#This Row],[ClickTick]],TabCalc[Ticker],TabCalc[M])</f>
        <v>215.65</v>
      </c>
      <c r="X42" s="1343"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-9/819 K$</v>
      </c>
      <c r="AE42" s="1195" t="str" cm="1">
        <f t="array" aca="1" ref="AE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2" s="1177" t="str" cm="1">
        <f t="array" aca="1" ref="AF42" ca="1">_xlfn.IFS(       Tab_NewTRADER[[#This Row],[Trap_vs_Last]]=RePurchaseGain,TEXT(Tab_NewTRADER[[#This Row],[L_Sn]],"#,#0")&amp;" x "&amp;TEXT(Tab_NewTRADER[[#This Row],[L_Sp]],"#,#0.#0"),     Tab_NewTRADER[[#This Row],[Trap_vs_Last]]=ReSaleGain,Tab_NewTRADER[[#This Row],[ToSell]],               TRUE,"")</f>
        <v>200 x 237.80</v>
      </c>
      <c r="AG42" s="1177" cm="1">
        <f t="array" aca="1" ref="AG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4418.4820000000009</v>
      </c>
      <c r="AH42" s="1370" t="str">
        <f ca="1">TEXT(MIN(Tab_NewTRADER[[#This Row],[L_Bn]],Tab_NewTRADER[[#This Row],[N]]),"#,#0")&amp;" x "&amp;TEXT(Tab_NewTRADER[[#This Row],[L_Bp]],"#,#0.#0")</f>
        <v>500 x -232.35</v>
      </c>
      <c r="AI42" s="1370">
        <f ca="1">IF(Tab_NewTRADER[[#This Row],[M]]&lt;_xlfn.XLOOKUP(Tab_NewTRADER[[#This Row],[ClickTick]],TabCalc[Ticker],TabCalc[Max_Buy_P]), 0,Tab_NewTRADER[[#This Row],[Sale_Back_$]])</f>
        <v>0</v>
      </c>
      <c r="AJ42" s="1370" t="str">
        <f ca="1">TEXT(Tab_NewTRADER[[#This Row],[L_Sn]],"#,#0")&amp;" ("&amp;Tab_NewTRADER[[#This Row],[M]]&amp;"/"&amp;TEXT(Tab_NewTRADER[[#This Row],[L_Sp]],"#,#0.#0)")</f>
        <v>200 (215.65/237.80)</v>
      </c>
      <c r="AK42" s="1370">
        <f ca="1">IF(Tab_NewTRADER[[#This Row],[M]]&lt;_xlfn.XLOOKUP(Tab_NewTRADER[[#This Row],[ClickTick]],TabCalc[Ticker],TabCalc[Max_Buy_P]), -Tab_NewTRADER[[#This Row],[Buy_Back]], 0)</f>
        <v>4418.4820000000009</v>
      </c>
      <c r="AL42" s="1177" t="str" cm="1">
        <f t="array" aca="1" ref="AL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2" s="760">
        <f ca="1">Tab_NewTRADER[[#This Row],[N]]*(Tab_NewTRADER[[#This Row],[M]]-Tab_NewTRADER[[#This Row],[A]])*(1-Commission)*Tab_NewTRADER[[#This Row],[Scale]]</f>
        <v>-94309.605829999884</v>
      </c>
      <c r="AN42" s="760">
        <f ca="1">Tab_NewTRADER[[#This Row],[M]]*Tab_NewTRADER[[#This Row],[N]]*(1-Commission)*Tab_NewTRADER[[#This Row],[Scale]]</f>
        <v>817339.37799999991</v>
      </c>
      <c r="AO42" s="1186" cm="1">
        <f t="array" aca="1" ref="AO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9.3145500420521471E-2</v>
      </c>
      <c r="AP42" s="1186" t="str" cm="1">
        <f t="array" aca="1" ref="AP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Tab_NewTRADER[[#This Row],[Trap_vs_Last]]=SellMorePercentGain,                     MIN(Tab_NewTRADER[[#This Row],[L_Sn]],Tab_NewTRADER[[#This Row],[N]])*(Tab_NewTRADER[[#This Row],[M]]-Tab_NewTRADER[[#This Row],[L_Sp]])*(1-Commission)*Tab_NewTRADER[[#This Row],[Scale]],                    TRUE,"")</f>
        <v/>
      </c>
      <c r="AR42" s="1192">
        <f ca="1">_xlfn.XLOOKUP(Tab_NewTRADER[[#This Row],[ClickTick]],TabCalc[Ticker],TabCalc[Ann%RevLB])</f>
        <v>-0.71874327523133164</v>
      </c>
      <c r="AS42" s="1281">
        <f ca="1">_xlfn.XLOOKUP(Tab_NewTRADER[[#This Row],[ClickTick]],TabCalc[Ticker],TabCalc[Up20])</f>
        <v>0</v>
      </c>
      <c r="AT42" s="1187" t="str" cm="1">
        <f t="array" aca="1" ref="AT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2" s="825" t="str" cm="1">
        <f t="array" aca="1" ref="AU42" ca="1">_xlfn.IFS(         Tab_NewTRADER[[#This Row],[Trap_vs_Last]]=MDown,Tab_NewTRADER[[#This Row],[L_Bn]]*Tab_NewTRADER[[#This Row],[M]]*(-(Tab_NewTRADER[[#This Row],[L_Bp]]+Tab_NewTRADER[[#This Row],[M]])/Tab_NewTRADER[[#This Row],[M]])*(1-Commission)*Tab_NewTRADER[[#This Row],[Scale]],                               TRUE,"")</f>
        <v/>
      </c>
      <c r="AV42" s="1186" t="str" cm="1">
        <f t="array" aca="1" ref="AV42" ca="1">_xlfn.IFS(   Tab_NewTRADER[[#This Row],[Trap_vs_Last]]=MUp,Tab_NewTRADER[[#This Row],[TakeGain_A]]-Commission,        Tab_NewTRADER[[#This Row],[Trap_vs_Last]]=MDown,(Tab_NewTRADER[[#This Row],[A]]-Tab_NewTRADER[[#This Row],[M]])/Tab_NewTRADER[[#This Row],[M]]-Commission,                              TRUE,"")</f>
        <v/>
      </c>
      <c r="AW42" s="760" cm="1">
        <f t="array" aca="1" ref="AW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-94309.605829999884</v>
      </c>
      <c r="AX42" s="760" t="str" cm="1">
        <f t="array" aca="1" ref="AX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Y42" s="736" t="str" cm="1">
        <f t="array" aca="1" ref="AY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2" s="765" cm="1">
        <f t="array" aca="1" ref="AZ42" ca="1">_xlfn.IFS(Tab_NewTRADER[[#This Row],[Trap_vs_Last]]=ReSaleGain,"",         Tab_NewTRADER[[#This Row],[Trap_vs_Last]]=MDown, (Tab_NewTRADER[[#This Row],[M]]-Tab_NewTRADER[[#This Row],[A]])/Tab_NewTRADER[[#This Row],[A]]*ComFactor,             TRUE, IFERROR((Tab_NewTRADER[[#This Row],[M]]-Tab_NewTRADER[[#This Row],[A]])/Tab_NewTRADER[[#This Row],[A]]*ComFactor,""))</f>
        <v>-0.10318050315776207</v>
      </c>
      <c r="BA42" s="762" cm="1">
        <f t="array" aca="1" ref="BA42" ca="1">_xlfn.IFS(               Tab_NewTRADER[[#This Row],[Trap_vs_Last]]=NoStock,(Tab_NewTRADER[[#This Row],[L_Sp]]-Tab_NewTRADER[[#This Row],[M]])/Tab_NewTRADER[[#This Row],[M]]-Commission,             Tab_NewTRADER[[#This Row],[A]]&lt;&gt;0,(Tab_NewTRADER[[#This Row],[A]]-Tab_NewTRADER[[#This Row],[M]])/Tab_NewTRADER[[#This Row],[M]]-Commission)</f>
        <v>0.1127861032130522</v>
      </c>
      <c r="BB42" s="324">
        <f ca="1">_xlfn.XLOOKUP(Tab_NewTRADER[[#This Row],[ClickTick]],TabCalc[Ticker],TabCalc[L_Sn])</f>
        <v>200</v>
      </c>
      <c r="BC42" s="728">
        <f ca="1">_xlfn.XLOOKUP(Tab_NewTRADER[[#This Row],[ClickTick]],TabCalc[Ticker],TabCalc[L_Sp])</f>
        <v>237.8</v>
      </c>
      <c r="BD42" s="764">
        <f ca="1">-IFERROR((Tab_NewTRADER[[#This Row],[M]]-Tab_NewTRADER[[#This Row],[L_Sp]])/Tab_NewTRADER[[#This Row],[L_Sp]],0)</f>
        <v>9.3145500420521471E-2</v>
      </c>
      <c r="BE42" s="729">
        <f ca="1">MIN(Tab_NewTRADER[[#This Row],[L_Sn]],Tab_NewTRADER[[#This Row],[N]])*(Tab_NewTRADER[[#This Row],[M]]-Tab_NewTRADER[[#This Row],[L_Sp]])*(1-Commission)*Tab_NewTRADER[[#This Row],[Scale]]</f>
        <v>-4418.4820000000009</v>
      </c>
      <c r="BF42" s="692">
        <f ca="1">Tab_NewTRADER[[#This Row],[L_Sn]]*(Tab_NewTRADER[[#This Row],[Agiotage]]-Tab_NewTRADER[[#This Row],[M]])/(Tab_NewTRADER[[#This Row],[L_Bn]]*Tab_NewTRADER[[#This Row],[M]])</f>
        <v>-0.39784878585679534</v>
      </c>
      <c r="BG42" s="635">
        <f ca="1">IFERROR((Tab_NewTRADER[[#This Row],[M]]-Tab_NewTRADER[[#This Row],[A]])/Tab_NewTRADER[[#This Row],[A]],0)</f>
        <v>-0.10344947178440152</v>
      </c>
      <c r="BH42" s="638" t="str">
        <f ca="1">TEXT(_xlfn.XLOOKUP(Tab_NewTRADER[[#This Row],[ClickTick]],TabCalc[Ticker],TabCalc[NAfter]),"#,#0")&amp;" : "&amp;TEXT(_xlfn.XLOOKUP(Tab_NewTRADER[[#This Row],[ClickTick]],TabCalc[Ticker],TabCalc[NAfter])*(Tab_NewTRADER[[#This Row],[M]]-Tab_NewTRADER[[#This Row],[A]])*(1-Commission)*Tab_NewTRADER[[#This Row],[Scale]],"#,#0$")</f>
        <v>3,800 : -94,310$</v>
      </c>
      <c r="BI42" s="684">
        <f ca="1">_xlfn.XLOOKUP(Tab_NewTRADER[[#This Row],[ClickTick]],TabCalc[[#This Row],[Ticker]],TabCalc[[#This Row],[GL]])*(1-Commission)</f>
        <v>-8872.8953350001393</v>
      </c>
      <c r="BJ42" s="684"/>
      <c r="BK42" s="669" t="str">
        <f ca="1">Tab_NewTRADER[[#This Row],[ClickTick]]&amp;": "&amp;_xlfn.XLOOKUP(Tab_NewTRADER[[#This Row],[ClickTick]],TabCalc[Ticker],TabCalc[Pile?])</f>
        <v>SAP: Pile</v>
      </c>
      <c r="BL42" s="351" t="s">
        <v>2063</v>
      </c>
      <c r="BM42" s="755" t="str" cm="1">
        <f t="array" aca="1" ref="BM42" ca="1">_xlfn.TEXTJOIN("",,INDEX({"M","A","Y"}, _xlfn.SORTBY({1,2,3}, -CHOOSE({1,2,3}, Tab_NewTRADER[[#This Row],[M]], Tab_NewTRADER[[#This Row],[A]], Tab_NewTRADER[[#This Row],[Agiotage]]))))</f>
        <v>AMY</v>
      </c>
      <c r="BN42" s="909" t="str" cm="1">
        <f t="array" aca="1" ref="BN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2" s="679" t="e">
        <f ca="1">Tab_NewTRADER[[#This Row],[L_Sn]]*Tab_NewTRADER[[#This Row],[L_Sp]]+Tab_NewTRADER[[#This Row],[SellMore]]*Tab_NewTRADER[[#This Row],[M]]</f>
        <v>#N/A</v>
      </c>
      <c r="BP42" s="679" t="e">
        <f ca="1">INDEX(
  INDEX(TabConsolid[], , _xlfn.XMATCH(Tab_NewTRADER[[#This Row],[ClickTick]]&amp;1, TabConsolid[#Headers])),
  MATCH(
    -Tab_NewTRADER[[#This Row],[M]],
    INDEX(TabConsolid[], , _xlfn.XMATCH(Tab_NewTRADER[[#This Row],[ClickTick]]&amp;2, TabConsolid[#Headers])),
    -1
  )
)</f>
        <v>#N/A</v>
      </c>
      <c r="BQ42" s="679" cm="1">
        <f t="array" aca="1" ref="BQ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42" s="1156" t="e">
        <f ca="1">Tab_NewTRADER[[#This Row],[ReBuy]]/(Tab_NewTRADER[[#This Row],[L_Sn]]+Tab_NewTRADER[[#This Row],[SellMore]])</f>
        <v>#N/A</v>
      </c>
      <c r="BS42" s="687">
        <f ca="1">((_xlfn.XLOOKUP(Tab_NewTRADER[[#This Row],[ClickTick]],TabCalc[Ticker],TabCalc[NAfter])+Tab_NewTRADER[[#This Row],[L_Sn]])*(Tab_NewTRADER[[#This Row],[Agiotage]]-Tab_NewTRADER[[#This Row],[M]]))/(Tab_NewTRADER[[#This Row],[L_Sn]]*_xlfn.XLOOKUP(Tab_NewTRADER[[#This Row],[ClickTick]],TabCalc[Ticker],TabCalc[NAfter]))</f>
        <v>-1.1288959298686569</v>
      </c>
      <c r="BT42" s="687">
        <f ca="1">(Tab_NewTRADER[[#This Row],[M]]-Tab_NewTRADER[[#This Row],[Agiotage]])/(Tab_NewTRADER[[#This Row],[M]]-Tab_NewTRADER[[#This Row],[A]])-1</f>
        <v>-9.6199458768920376</v>
      </c>
      <c r="BU42" s="1277">
        <f ca="1">_xlfn.XMATCH(Tab_NewTRADER[[#This Row],[ClickTick]]&amp;1, TabConsolid[#Headers])</f>
        <v>119</v>
      </c>
      <c r="BV42" t="str">
        <f ca="1">IF(ABS(Tab_NewTRADER[[#This Row],[L_Bp]])&gt;=Tab_NewTRADER[[#This Row],[M]],"OK")</f>
        <v>OK</v>
      </c>
    </row>
    <row r="43" spans="1:74"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-1,342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-3.5%</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-2,280$</v>
      </c>
      <c r="G43" s="225" t="str">
        <f ca="1">IFERROR(TRUNC(_xlfn.XLOOKUP(Tab_NewTRADER[[#This Row],[ClickTick]],TabCalc[Ticker],ListLastSalep),2)&amp;"x"&amp;_xlfn.XLOOKUP(Tab_NewTRADER[[#This Row],[ClickTick]],TabCalc[Ticker],ListLastSalen)&amp;"=   "&amp;TEXT(-_xlfn.XLOOKUP(Tab_NewTRADER[[#This Row],[ClickTick]],TabCalc[Ticker],ListReverseB),"#,#0")&amp;"$","")</f>
        <v>16.54x632=   -1,169$</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12.6% = 2,703</v>
      </c>
      <c r="I43" s="226" t="str">
        <f ca="1">IFERROR(TRUNC(TabCalc[[#This Row],[L_S1p]],2)&amp;"x"&amp;TabCalc[[#This Row],[L_S1n]]&amp;"=   "&amp;TEXT(TabCalc[[#This Row],[ReverseB1]],"#,#0"),"")</f>
        <v>21.02x1000=   6,331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183625</v>
      </c>
      <c r="M43" s="323">
        <f ca="1">_xlfn.XLOOKUP(Tab_NewTRADER[[#This Row],[ClickTick]],TabCalc[Ticker],TabCalc[Agiotage])</f>
        <v>4.9657928425179201E-2</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-3.3552631578947355E-2</v>
      </c>
      <c r="S43" s="683">
        <f ca="1">_xlfn.XLOOKUP(Tab_NewTRADER[[#This Row],[ClickTick]],TabCalc[Ticker],TabCalc[Rev(MinStock)])*(1-Commission)</f>
        <v>-1338.8299679999993</v>
      </c>
      <c r="T43" s="782">
        <f ca="1">_xlfn.XLOOKUP(Tab_NewTRADER[[#This Row],[ClickTick]],TabCalc[Ticker],TabCalc[Agiotage])</f>
        <v>4.9657928425179201E-2</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8,875/8,875=&gt;1.6% / 1.6%</v>
      </c>
      <c r="V43" s="739" t="str">
        <f ca="1">_xlfn.XLOOKUP(Tab_NewTRADER[[#This Row],[ClickTick]],[1]!RTData[Ticker_Symbol],[1]!RTData[Currency])</f>
        <v>USD</v>
      </c>
      <c r="W43" s="749">
        <f ca="1">_xlfn.XLOOKUP(Tab_NewTRADER[[#This Row],[ClickTick]],TabCalc[Ticker],TabCalc[M])</f>
        <v>14.69</v>
      </c>
      <c r="X43" s="1343"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^61 / 367 K$</v>
      </c>
      <c r="AE43" s="1195" t="str" cm="1">
        <f t="array" aca="1" ref="AE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3" s="1177" t="str" cm="1">
        <f t="array" aca="1" ref="AF43" ca="1">_xlfn.IFS(       Tab_NewTRADER[[#This Row],[Trap_vs_Last]]=RePurchaseGain,TEXT(Tab_NewTRADER[[#This Row],[L_Sn]],"#,#0")&amp;" x "&amp;TEXT(Tab_NewTRADER[[#This Row],[L_Sp]],"#,#0.#0"),     Tab_NewTRADER[[#This Row],[Trap_vs_Last]]=ReSaleGain,Tab_NewTRADER[[#This Row],[ToSell]],               TRUE,"")</f>
        <v/>
      </c>
      <c r="AG43" s="1177" t="str" cm="1">
        <f t="array" aca="1" ref="AG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H43" s="1370" t="str">
        <f ca="1">TEXT(MIN(Tab_NewTRADER[[#This Row],[L_Bn]],Tab_NewTRADER[[#This Row],[N]]),"#,#0")&amp;" x "&amp;TEXT(Tab_NewTRADER[[#This Row],[L_Bp]],"#,#0.#0")</f>
        <v>2,632 x -15.20</v>
      </c>
      <c r="AI43" s="1370">
        <f ca="1">IF(Tab_NewTRADER[[#This Row],[M]]&lt;_xlfn.XLOOKUP(Tab_NewTRADER[[#This Row],[ClickTick]],TabCalc[Ticker],TabCalc[Max_Buy_P]), 0,Tab_NewTRADER[[#This Row],[Sale_Back_$]])</f>
        <v>0</v>
      </c>
      <c r="AJ43" s="1370" t="str">
        <f ca="1">TEXT(Tab_NewTRADER[[#This Row],[L_Sn]],"#,#0")&amp;" ("&amp;Tab_NewTRADER[[#This Row],[M]]&amp;"/"&amp;TEXT(Tab_NewTRADER[[#This Row],[L_Sp]],"#,#0.#0)")</f>
        <v>632 (14.69/16.54)</v>
      </c>
      <c r="AK43" s="1370">
        <f ca="1">IF(Tab_NewTRADER[[#This Row],[M]]&lt;_xlfn.XLOOKUP(Tab_NewTRADER[[#This Row],[ClickTick]],TabCalc[Ticker],TabCalc[Max_Buy_P]), -Tab_NewTRADER[[#This Row],[Buy_Back]], 0)</f>
        <v>1166.1600799999997</v>
      </c>
      <c r="AL43" s="1177" cm="1">
        <f t="array" aca="1" ref="AL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1338.8299679999993</v>
      </c>
      <c r="AM43" s="760">
        <f ca="1">Tab_NewTRADER[[#This Row],[N]]*(Tab_NewTRADER[[#This Row],[M]]-Tab_NewTRADER[[#This Row],[A]])*(1-Commission)*Tab_NewTRADER[[#This Row],[Scale]]</f>
        <v>-52985.239264000062</v>
      </c>
      <c r="AN43" s="760">
        <f ca="1">Tab_NewTRADER[[#This Row],[M]]*Tab_NewTRADER[[#This Row],[N]]*(1-Commission)*Tab_NewTRADER[[#This Row],[Scale]]</f>
        <v>366295.14999999997</v>
      </c>
      <c r="AO43" s="1186" cm="1">
        <f t="array" aca="1" ref="AO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0.12637185191754316</v>
      </c>
      <c r="AP43" s="1186" cm="1">
        <f t="array" aca="1" ref="AP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3.211749489448603E-2</v>
      </c>
      <c r="AQ43" s="825" t="str" cm="1">
        <f t="array" aca="1" ref="AQ43" ca="1">_xlfn.IFS(   Tab_NewTRADER[[#This Row],[Trap_vs_Last]]=SellMorePercentGain,                     MIN(Tab_NewTRADER[[#This Row],[L_Sn]],Tab_NewTRADER[[#This Row],[N]])*(Tab_NewTRADER[[#This Row],[M]]-Tab_NewTRADER[[#This Row],[L_Sp]])*(1-Commission)*Tab_NewTRADER[[#This Row],[Scale]],                    TRUE,"")</f>
        <v/>
      </c>
      <c r="AR43" s="1175">
        <f ca="1">_xlfn.XLOOKUP(Tab_NewTRADER[[#This Row],[ClickTick]],TabCalc[Ticker],TabCalc[Ann%RevLB])</f>
        <v>-1.3421052631578942</v>
      </c>
      <c r="AS43" s="1282">
        <f ca="1">_xlfn.XLOOKUP(Tab_NewTRADER[[#This Row],[ClickTick]],TabCalc[Ticker],TabCalc[Up20])</f>
        <v>0</v>
      </c>
      <c r="AT43" s="1187" cm="1">
        <f t="array" aca="1" ref="AT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3.4717494894486028E-2</v>
      </c>
      <c r="AU43" s="825" cm="1">
        <f t="array" aca="1" ref="AU43" ca="1">_xlfn.IFS(         Tab_NewTRADER[[#This Row],[Trap_vs_Last]]=MDown,Tab_NewTRADER[[#This Row],[L_Bn]]*Tab_NewTRADER[[#This Row],[M]]*(-(Tab_NewTRADER[[#This Row],[L_Bp]]+Tab_NewTRADER[[#This Row],[M]])/Tab_NewTRADER[[#This Row],[M]])*(1-Commission)*Tab_NewTRADER[[#This Row],[Scale]],                               TRUE,"")</f>
        <v>1338.8299679999993</v>
      </c>
      <c r="AV43" s="1186" cm="1">
        <f t="array" aca="1" ref="AV43" ca="1">_xlfn.IFS(   Tab_NewTRADER[[#This Row],[Trap_vs_Last]]=MUp,Tab_NewTRADER[[#This Row],[TakeGain_A]]-Commission,        Tab_NewTRADER[[#This Row],[Trap_vs_Last]]=MDown,(Tab_NewTRADER[[#This Row],[A]]-Tab_NewTRADER[[#This Row],[M]])/Tab_NewTRADER[[#This Row],[M]]-Commission,                              TRUE,"")</f>
        <v>0.14205176310415268</v>
      </c>
      <c r="AW43" s="825" cm="1">
        <f t="array" aca="1" ref="AW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52985.239264000062</v>
      </c>
      <c r="AX43" s="760" t="str" cm="1">
        <f t="array" aca="1" ref="AX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-1.6%</v>
      </c>
      <c r="AY43" s="736" cm="1">
        <f t="array" aca="1" ref="AY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-0.51</v>
      </c>
      <c r="AZ43" s="765" cm="1">
        <f t="array" aca="1" ref="AZ43" ca="1">_xlfn.IFS(Tab_NewTRADER[[#This Row],[Trap_vs_Last]]=ReSaleGain,"",         Tab_NewTRADER[[#This Row],[Trap_vs_Last]]=MDown, (Tab_NewTRADER[[#This Row],[M]]-Tab_NewTRADER[[#This Row],[A]])/Tab_NewTRADER[[#This Row],[A]]*ComFactor,             TRUE, IFERROR((Tab_NewTRADER[[#This Row],[M]]-Tab_NewTRADER[[#This Row],[A]])/Tab_NewTRADER[[#This Row],[A]]*ComFactor,""))</f>
        <v>-0.12604328510255755</v>
      </c>
      <c r="BA43" s="762" cm="1">
        <f t="array" aca="1" ref="BA43" ca="1">_xlfn.IFS(               Tab_NewTRADER[[#This Row],[Trap_vs_Last]]=NoStock,(Tab_NewTRADER[[#This Row],[L_Sp]]-Tab_NewTRADER[[#This Row],[M]])/Tab_NewTRADER[[#This Row],[M]]-Commission,             Tab_NewTRADER[[#This Row],[A]]&lt;&gt;0,(Tab_NewTRADER[[#This Row],[A]]-Tab_NewTRADER[[#This Row],[M]])/Tab_NewTRADER[[#This Row],[M]]-Commission)</f>
        <v>0.14205176310415268</v>
      </c>
      <c r="BB43" s="324">
        <f ca="1">_xlfn.XLOOKUP(Tab_NewTRADER[[#This Row],[ClickTick]],TabCalc[Ticker],TabCalc[L_Sn])</f>
        <v>632</v>
      </c>
      <c r="BC43" s="728">
        <f ca="1">_xlfn.XLOOKUP(Tab_NewTRADER[[#This Row],[ClickTick]],TabCalc[Ticker],TabCalc[L_Sp])</f>
        <v>16.54</v>
      </c>
      <c r="BD43" s="764">
        <f ca="1">-IFERROR((Tab_NewTRADER[[#This Row],[M]]-Tab_NewTRADER[[#This Row],[L_Sp]])/Tab_NewTRADER[[#This Row],[L_Sp]],0)</f>
        <v>0.11185006045949213</v>
      </c>
      <c r="BE43" s="729">
        <f ca="1">MIN(Tab_NewTRADER[[#This Row],[L_Sn]],Tab_NewTRADER[[#This Row],[N]])*(Tab_NewTRADER[[#This Row],[M]]-Tab_NewTRADER[[#This Row],[L_Sp]])*(1-Commission)*Tab_NewTRADER[[#This Row],[Scale]]</f>
        <v>-1166.1600799999997</v>
      </c>
      <c r="BF43" s="692">
        <f ca="1">Tab_NewTRADER[[#This Row],[L_Sn]]*(Tab_NewTRADER[[#This Row],[Agiotage]]-Tab_NewTRADER[[#This Row],[M]])/(Tab_NewTRADER[[#This Row],[L_Bn]]*Tab_NewTRADER[[#This Row],[M]])</f>
        <v>-0.23930987596847736</v>
      </c>
      <c r="BG43" s="635">
        <f ca="1">IFERROR((Tab_NewTRADER[[#This Row],[M]]-Tab_NewTRADER[[#This Row],[A]])/Tab_NewTRADER[[#This Row],[A]],0)</f>
        <v>-0.12637185191754316</v>
      </c>
      <c r="BH43" s="638" t="str">
        <f ca="1">TEXT(_xlfn.XLOOKUP(Tab_NewTRADER[[#This Row],[ClickTick]],TabCalc[Ticker],TabCalc[NAfter]),"#,#0")&amp;" : "&amp;TEXT(_xlfn.XLOOKUP(Tab_NewTRADER[[#This Row],[ClickTick]],TabCalc[Ticker],TabCalc[NAfter])*(Tab_NewTRADER[[#This Row],[M]]-Tab_NewTRADER[[#This Row],[A]])*(1-Commission)*Tab_NewTRADER[[#This Row],[Scale]],"#,#0$")</f>
        <v>25,000 : -52,985$</v>
      </c>
      <c r="BI43" s="684">
        <f ca="1">_xlfn.XLOOKUP(Tab_NewTRADER[[#This Row],[ClickTick]],TabCalc[[#This Row],[Ticker]],TabCalc[[#This Row],[GL]])*(1-Commission)</f>
        <v>60735.89502799997</v>
      </c>
      <c r="BJ43" s="684"/>
      <c r="BK43" s="669" t="str">
        <f ca="1">Tab_NewTRADER[[#This Row],[ClickTick]]&amp;": "&amp;_xlfn.XLOOKUP(Tab_NewTRADER[[#This Row],[ClickTick]],TabCalc[Ticker],TabCalc[Pile?])</f>
        <v xml:space="preserve">SHECY: </v>
      </c>
      <c r="BL43" s="351" t="s">
        <v>2066</v>
      </c>
      <c r="BM43" s="755" t="str" cm="1">
        <f t="array" aca="1" ref="BM43" ca="1">_xlfn.TEXTJOIN("",,INDEX({"M","A","Y"}, _xlfn.SORTBY({1,2,3}, -CHOOSE({1,2,3}, Tab_NewTRADER[[#This Row],[M]], Tab_NewTRADER[[#This Row],[A]], Tab_NewTRADER[[#This Row],[Agiotage]]))))</f>
        <v>AMY</v>
      </c>
      <c r="BN43" s="909" cm="1">
        <f t="array" aca="1" ref="BN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3.4717494894486028E-2</v>
      </c>
      <c r="BO43" s="679" t="e">
        <f ca="1">Tab_NewTRADER[[#This Row],[L_Sn]]*Tab_NewTRADER[[#This Row],[L_Sp]]+Tab_NewTRADER[[#This Row],[SellMore]]*Tab_NewTRADER[[#This Row],[M]]</f>
        <v>#N/A</v>
      </c>
      <c r="BP43" s="679" t="e">
        <f ca="1">INDEX(
  INDEX(TabConsolid[], , _xlfn.XMATCH(Tab_NewTRADER[[#This Row],[ClickTick]]&amp;1, TabConsolid[#Headers])),
  MATCH(
    -Tab_NewTRADER[[#This Row],[M]],
    INDEX(TabConsolid[], , _xlfn.XMATCH(Tab_NewTRADER[[#This Row],[ClickTick]]&amp;2, TabConsolid[#Headers])),
    -1
  )
)</f>
        <v>#N/A</v>
      </c>
      <c r="BQ43" s="679" cm="1">
        <f t="array" aca="1" ref="BQ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43" s="1156" t="e">
        <f ca="1">Tab_NewTRADER[[#This Row],[ReBuy]]/(Tab_NewTRADER[[#This Row],[L_Sn]]+Tab_NewTRADER[[#This Row],[SellMore]])</f>
        <v>#N/A</v>
      </c>
      <c r="BS43" s="687">
        <f ca="1">((_xlfn.XLOOKUP(Tab_NewTRADER[[#This Row],[ClickTick]],TabCalc[Ticker],TabCalc[NAfter])+Tab_NewTRADER[[#This Row],[L_Sn]])*(Tab_NewTRADER[[#This Row],[Agiotage]]-Tab_NewTRADER[[#This Row],[M]]))/(Tab_NewTRADER[[#This Row],[L_Sn]]*_xlfn.XLOOKUP(Tab_NewTRADER[[#This Row],[ClickTick]],TabCalc[Ticker],TabCalc[NAfter]))</f>
        <v>-2.3750711897380112E-2</v>
      </c>
      <c r="BT43" s="687">
        <f ca="1">(Tab_NewTRADER[[#This Row],[M]]-Tab_NewTRADER[[#This Row],[Agiotage]])/(Tab_NewTRADER[[#This Row],[M]]-Tab_NewTRADER[[#This Row],[A]])-1</f>
        <v>-7.8897854312936921</v>
      </c>
      <c r="BU43" s="1277">
        <f ca="1">_xlfn.XMATCH(Tab_NewTRADER[[#This Row],[ClickTick]]&amp;1, TabConsolid[#Headers])</f>
        <v>122</v>
      </c>
      <c r="BV43" t="str">
        <f ca="1">IF(ABS(Tab_NewTRADER[[#This Row],[L_Bp]])&gt;=Tab_NewTRADER[[#This Row],[M]],"OK")</f>
        <v>OK</v>
      </c>
    </row>
    <row r="44" spans="1:74"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+630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1,374$</v>
      </c>
      <c r="G44" s="225" t="str">
        <f ca="1">IFERROR(TRUNC(_xlfn.XLOOKUP(Tab_NewTRADER[[#This Row],[ClickTick]],TabCalc[Ticker],ListLastSalep),2)&amp;"x"&amp;_xlfn.XLOOKUP(Tab_NewTRADER[[#This Row],[ClickTick]],TabCalc[Ticker],ListLastSalen)&amp;"=   "&amp;TEXT(-_xlfn.XLOOKUP(Tab_NewTRADER[[#This Row],[ClickTick]],TabCalc[Ticker],ListReverseB),"#,#0")&amp;"$","")</f>
        <v>12.76x3000=   -9,923$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35.0% = 1,512</v>
      </c>
      <c r="I44" s="226" t="str">
        <f ca="1">IFERROR(TRUNC(TabCalc[[#This Row],[L_S1p]],2)&amp;"x"&amp;TabCalc[[#This Row],[L_S1n]]&amp;"=   "&amp;TEXT(TabCalc[[#This Row],[ReverseB1]],"#,#0"),"")</f>
        <v>10.36x4000=   3,600</v>
      </c>
      <c r="J44" s="295">
        <f ca="1">_xlfn.XLOOKUP(Tab_NewTRADER[[#This Row],[ClickTick]],TabCalc[Ticker],ListGravity)</f>
        <v>1.4094429175475687</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0.53756772213783643</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2.2702702702702793E-2</v>
      </c>
      <c r="S44" s="683">
        <f ca="1">_xlfn.XLOOKUP(Tab_NewTRADER[[#This Row],[ClickTick]],TabCalc[Ticker],TabCalc[Rev(MinStock)])*(1-Commission)</f>
        <v>628.36200000000247</v>
      </c>
      <c r="T44" s="782">
        <f ca="1">_xlfn.XLOOKUP(Tab_NewTRADER[[#This Row],[ClickTick]],TabCalc[Ticker],TabCalc[Agiotage])</f>
        <v>0.53756772213783643</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3,200/3,200=&gt;0.0% / 0.0%</v>
      </c>
      <c r="V44" s="739" t="str">
        <f ca="1">_xlfn.XLOOKUP(Tab_NewTRADER[[#This Row],[ClickTick]],[1]!RTData[Ticker_Symbol],[1]!RTData[Currency])</f>
        <v>USD</v>
      </c>
      <c r="W44" s="749">
        <f ca="1">_xlfn.XLOOKUP(Tab_NewTRADER[[#This Row],[ClickTick]],TabCalc[Ticker],TabCalc[M])</f>
        <v>9.4600000000000009</v>
      </c>
      <c r="X44" s="1343"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-705/151 K$</v>
      </c>
      <c r="AE44" s="1195" t="str" cm="1">
        <f t="array" aca="1" ref="AE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4" s="1177" t="str" cm="1">
        <f t="array" aca="1" ref="AF44" ca="1">_xlfn.IFS(       Tab_NewTRADER[[#This Row],[Trap_vs_Last]]=RePurchaseGain,TEXT(Tab_NewTRADER[[#This Row],[L_Sn]],"#,#0")&amp;" x "&amp;TEXT(Tab_NewTRADER[[#This Row],[L_Sp]],"#,#0.#0"),     Tab_NewTRADER[[#This Row],[Trap_vs_Last]]=ReSaleGain,Tab_NewTRADER[[#This Row],[ToSell]],               TRUE,"")</f>
        <v>3,000 x 12.77</v>
      </c>
      <c r="AG44" s="1177" cm="1">
        <f t="array" aca="1" ref="AG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9896.8011402599968</v>
      </c>
      <c r="AH44" s="1370" t="str">
        <f ca="1">TEXT(MIN(Tab_NewTRADER[[#This Row],[L_Bn]],Tab_NewTRADER[[#This Row],[N]]),"#,#0")&amp;" x "&amp;TEXT(Tab_NewTRADER[[#This Row],[L_Bp]],"#,#0.#0")</f>
        <v>3,000 x -9.25</v>
      </c>
      <c r="AI44" s="1370">
        <f ca="1">IF(Tab_NewTRADER[[#This Row],[M]]&lt;_xlfn.XLOOKUP(Tab_NewTRADER[[#This Row],[ClickTick]],TabCalc[Ticker],TabCalc[Max_Buy_P]), 0,Tab_NewTRADER[[#This Row],[Sale_Back_$]])</f>
        <v>0</v>
      </c>
      <c r="AJ44" s="1370" t="str">
        <f ca="1">TEXT(Tab_NewTRADER[[#This Row],[L_Sn]],"#,#0")&amp;" ("&amp;Tab_NewTRADER[[#This Row],[M]]&amp;"/"&amp;TEXT(Tab_NewTRADER[[#This Row],[L_Sp]],"#,#0.#0)")</f>
        <v>3,000 (9.46/12.77)</v>
      </c>
      <c r="AK44" s="1370">
        <f ca="1">IF(Tab_NewTRADER[[#This Row],[M]]&lt;_xlfn.XLOOKUP(Tab_NewTRADER[[#This Row],[ClickTick]],TabCalc[Ticker],TabCalc[Max_Buy_P]), -Tab_NewTRADER[[#This Row],[Buy_Back]], 0)</f>
        <v>9896.8011402599968</v>
      </c>
      <c r="AL44" s="1177" t="str" cm="1">
        <f t="array" aca="1" ref="AL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4" s="760">
        <f ca="1">Tab_NewTRADER[[#This Row],[N]]*(Tab_NewTRADER[[#This Row],[M]]-Tab_NewTRADER[[#This Row],[A]])*(1-Commission)*Tab_NewTRADER[[#This Row],[Scale]]</f>
        <v>-314964.846686</v>
      </c>
      <c r="AN44" s="760">
        <f ca="1">Tab_NewTRADER[[#This Row],[M]]*Tab_NewTRADER[[#This Row],[N]]*(1-Commission)*Tab_NewTRADER[[#This Row],[Scale]]</f>
        <v>150966.46400000001</v>
      </c>
      <c r="AO44" s="1186" cm="1">
        <f t="array" aca="1" ref="AO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0.25905812988950649</v>
      </c>
      <c r="AP44" s="1186" t="str" cm="1">
        <f t="array" aca="1" ref="AP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Tab_NewTRADER[[#This Row],[Trap_vs_Last]]=SellMorePercentGain,                     MIN(Tab_NewTRADER[[#This Row],[L_Sn]],Tab_NewTRADER[[#This Row],[N]])*(Tab_NewTRADER[[#This Row],[M]]-Tab_NewTRADER[[#This Row],[L_Sp]])*(1-Commission)*Tab_NewTRADER[[#This Row],[Scale]],                    TRUE,"")</f>
        <v/>
      </c>
      <c r="AR44" s="1175">
        <f ca="1">_xlfn.XLOOKUP(Tab_NewTRADER[[#This Row],[ClickTick]],TabCalc[Ticker],TabCalc[Ann%RevLB])</f>
        <v>2.6884779516358571E-2</v>
      </c>
      <c r="AS44" s="1282">
        <f ca="1">_xlfn.XLOOKUP(Tab_NewTRADER[[#This Row],[ClickTick]],TabCalc[Ticker],TabCalc[Up20])</f>
        <v>0.45454545454545453</v>
      </c>
      <c r="AT44" s="1187" t="str" cm="1">
        <f t="array" aca="1" ref="AT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4" s="825" t="str" cm="1">
        <f t="array" aca="1" ref="AU44" ca="1">_xlfn.IFS(         Tab_NewTRADER[[#This Row],[Trap_vs_Last]]=MDown,Tab_NewTRADER[[#This Row],[L_Bn]]*Tab_NewTRADER[[#This Row],[M]]*(-(Tab_NewTRADER[[#This Row],[L_Bp]]+Tab_NewTRADER[[#This Row],[M]])/Tab_NewTRADER[[#This Row],[M]])*(1-Commission)*Tab_NewTRADER[[#This Row],[Scale]],                               TRUE,"")</f>
        <v/>
      </c>
      <c r="AV44" s="1186" t="str" cm="1">
        <f t="array" aca="1" ref="AV44" ca="1">_xlfn.IFS(   Tab_NewTRADER[[#This Row],[Trap_vs_Last]]=MUp,Tab_NewTRADER[[#This Row],[TakeGain_A]]-Commission,        Tab_NewTRADER[[#This Row],[Trap_vs_Last]]=MDown,(Tab_NewTRADER[[#This Row],[A]]-Tab_NewTRADER[[#This Row],[M]])/Tab_NewTRADER[[#This Row],[M]]-Commission,                              TRUE,"")</f>
        <v/>
      </c>
      <c r="AW44" s="825" cm="1">
        <f t="array" aca="1" ref="AW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-314964.846686</v>
      </c>
      <c r="AX44" s="760" t="str" cm="1">
        <f t="array" aca="1" ref="AX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Y44" s="736" t="str" cm="1">
        <f t="array" aca="1" ref="AY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4" s="765" cm="1">
        <f t="array" aca="1" ref="AZ44" ca="1">_xlfn.IFS(Tab_NewTRADER[[#This Row],[Trap_vs_Last]]=ReSaleGain,"",         Tab_NewTRADER[[#This Row],[Trap_vs_Last]]=MDown, (Tab_NewTRADER[[#This Row],[M]]-Tab_NewTRADER[[#This Row],[A]])/Tab_NewTRADER[[#This Row],[A]]*ComFactor,             TRUE, IFERROR((Tab_NewTRADER[[#This Row],[M]]-Tab_NewTRADER[[#This Row],[A]])/Tab_NewTRADER[[#This Row],[A]]*ComFactor,""))</f>
        <v>-0.67423229750774427</v>
      </c>
      <c r="BA44" s="762" cm="1">
        <f t="array" aca="1" ref="BA44" ca="1">_xlfn.IFS(               Tab_NewTRADER[[#This Row],[Trap_vs_Last]]=NoStock,(Tab_NewTRADER[[#This Row],[L_Sp]]-Tab_NewTRADER[[#This Row],[M]])/Tab_NewTRADER[[#This Row],[M]]-Commission,             Tab_NewTRADER[[#This Row],[A]]&lt;&gt;0,(Tab_NewTRADER[[#This Row],[A]]-Tab_NewTRADER[[#This Row],[M]])/Tab_NewTRADER[[#This Row],[M]]-Commission)</f>
        <v>2.0837232690274838</v>
      </c>
      <c r="BB44" s="324">
        <f ca="1">_xlfn.XLOOKUP(Tab_NewTRADER[[#This Row],[ClickTick]],TabCalc[Ticker],TabCalc[L_Sn])</f>
        <v>3000</v>
      </c>
      <c r="BC44" s="728">
        <f ca="1">_xlfn.XLOOKUP(Tab_NewTRADER[[#This Row],[ClickTick]],TabCalc[Ticker],TabCalc[L_Sp])</f>
        <v>12.7675333</v>
      </c>
      <c r="BD44" s="764">
        <f ca="1">-IFERROR((Tab_NewTRADER[[#This Row],[M]]-Tab_NewTRADER[[#This Row],[L_Sp]])/Tab_NewTRADER[[#This Row],[L_Sp]],0)</f>
        <v>0.25905812988950649</v>
      </c>
      <c r="BE44" s="729">
        <f ca="1">MIN(Tab_NewTRADER[[#This Row],[L_Sn]],Tab_NewTRADER[[#This Row],[N]])*(Tab_NewTRADER[[#This Row],[M]]-Tab_NewTRADER[[#This Row],[L_Sp]])*(1-Commission)*Tab_NewTRADER[[#This Row],[Scale]]</f>
        <v>-9896.8011402599968</v>
      </c>
      <c r="BF44" s="692">
        <f ca="1">Tab_NewTRADER[[#This Row],[L_Sn]]*(Tab_NewTRADER[[#This Row],[Agiotage]]-Tab_NewTRADER[[#This Row],[M]])/(Tab_NewTRADER[[#This Row],[L_Bn]]*Tab_NewTRADER[[#This Row],[M]])</f>
        <v>-0.94317465939346334</v>
      </c>
      <c r="BG44" s="635">
        <f ca="1">IFERROR((Tab_NewTRADER[[#This Row],[M]]-Tab_NewTRADER[[#This Row],[A]])/Tab_NewTRADER[[#This Row],[A]],0)</f>
        <v>-0.67598987117279352</v>
      </c>
      <c r="BH44" s="638" t="str">
        <f ca="1">TEXT(_xlfn.XLOOKUP(Tab_NewTRADER[[#This Row],[ClickTick]],TabCalc[Ticker],TabCalc[NAfter]),"#,#0")&amp;" : "&amp;TEXT(_xlfn.XLOOKUP(Tab_NewTRADER[[#This Row],[ClickTick]],TabCalc[Ticker],TabCalc[NAfter])*(Tab_NewTRADER[[#This Row],[M]]-Tab_NewTRADER[[#This Row],[A]])*(1-Commission)*Tab_NewTRADER[[#This Row],[Scale]],"#,#0$")</f>
        <v>16,000 : -314,965$</v>
      </c>
      <c r="BI44" s="684">
        <f ca="1">_xlfn.XLOOKUP(Tab_NewTRADER[[#This Row],[ClickTick]],TabCalc[[#This Row],[Ticker]],TabCalc[[#This Row],[GL]])*(1-Commission)</f>
        <v>-703330.89286774001</v>
      </c>
      <c r="BJ44" s="684"/>
      <c r="BK44" s="669" t="str">
        <f ca="1">Tab_NewTRADER[[#This Row],[ClickTick]]&amp;": "&amp;_xlfn.XLOOKUP(Tab_NewTRADER[[#This Row],[ClickTick]],TabCalc[Ticker],TabCalc[Pile?])</f>
        <v xml:space="preserve">SSYS: </v>
      </c>
      <c r="BL44" s="351" t="s">
        <v>2069</v>
      </c>
      <c r="BM44" s="755" t="str" cm="1">
        <f t="array" aca="1" ref="BM44" ca="1">_xlfn.TEXTJOIN("",,INDEX({"M","A","Y"}, _xlfn.SORTBY({1,2,3}, -CHOOSE({1,2,3}, Tab_NewTRADER[[#This Row],[M]], Tab_NewTRADER[[#This Row],[A]], Tab_NewTRADER[[#This Row],[Agiotage]]))))</f>
        <v>AMY</v>
      </c>
      <c r="BN44" s="909" t="str" cm="1">
        <f t="array" aca="1" ref="BN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4" s="679" t="e">
        <f ca="1">Tab_NewTRADER[[#This Row],[L_Sn]]*Tab_NewTRADER[[#This Row],[L_Sp]]+Tab_NewTRADER[[#This Row],[SellMore]]*Tab_NewTRADER[[#This Row],[M]]</f>
        <v>#N/A</v>
      </c>
      <c r="BP44" s="679" t="e">
        <f ca="1">INDEX(
  INDEX(TabConsolid[], , _xlfn.XMATCH(Tab_NewTRADER[[#This Row],[ClickTick]]&amp;1, TabConsolid[#Headers])),
  MATCH(
    -Tab_NewTRADER[[#This Row],[M]],
    INDEX(TabConsolid[], , _xlfn.XMATCH(Tab_NewTRADER[[#This Row],[ClickTick]]&amp;2, TabConsolid[#Headers])),
    -1
  )
)</f>
        <v>#N/A</v>
      </c>
      <c r="BQ44" s="679" cm="1">
        <f t="array" aca="1" ref="BQ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44" s="1156" t="e">
        <f ca="1">Tab_NewTRADER[[#This Row],[ReBuy]]/(Tab_NewTRADER[[#This Row],[L_Sn]]+Tab_NewTRADER[[#This Row],[SellMore]])</f>
        <v>#N/A</v>
      </c>
      <c r="BS44" s="687">
        <f ca="1">((_xlfn.XLOOKUP(Tab_NewTRADER[[#This Row],[ClickTick]],TabCalc[Ticker],TabCalc[NAfter])+Tab_NewTRADER[[#This Row],[L_Sn]])*(Tab_NewTRADER[[#This Row],[Agiotage]]-Tab_NewTRADER[[#This Row],[M]]))/(Tab_NewTRADER[[#This Row],[L_Sn]]*_xlfn.XLOOKUP(Tab_NewTRADER[[#This Row],[ClickTick]],TabCalc[Ticker],TabCalc[NAfter]))</f>
        <v>-3.5317961099871065E-3</v>
      </c>
      <c r="BT44" s="687">
        <f ca="1">(Tab_NewTRADER[[#This Row],[M]]-Tab_NewTRADER[[#This Row],[Agiotage]])/(Tab_NewTRADER[[#This Row],[M]]-Tab_NewTRADER[[#This Row],[A]])-1</f>
        <v>-1.4520750323765088</v>
      </c>
      <c r="BU44" s="1277">
        <f ca="1">_xlfn.XMATCH(Tab_NewTRADER[[#This Row],[ClickTick]]&amp;1, TabConsolid[#Headers])</f>
        <v>125</v>
      </c>
      <c r="BV44" t="b">
        <f ca="1">IF(ABS(Tab_NewTRADER[[#This Row],[L_Bp]])&gt;=Tab_NewTRADER[[#This Row],[M]],"OK")</f>
        <v>0</v>
      </c>
    </row>
    <row r="45" spans="1:74"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+94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21.7%</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6" t="str">
        <f ca="1">TRUNC(TabCalc[[#This Row],[L_B1p]],2)&amp;"x"&amp;TabCalc[[#This Row],[L_B1n]]&amp;"=   "&amp;TEXT(TabCalc[[#This Row],[ReverseS1]],"#,#0")&amp;"$"</f>
        <v>-382.16x100=   48$</v>
      </c>
      <c r="G45" s="225" t="str">
        <f ca="1">IFERROR(TRUNC(_xlfn.XLOOKUP(Tab_NewTRADER[[#This Row],[ClickTick]],TabCalc[Ticker],ListLastSalep),2)&amp;"x"&amp;_xlfn.XLOOKUP(Tab_NewTRADER[[#This Row],[ClickTick]],TabCalc[Ticker],ListLastSalen)&amp;"=   "&amp;TEXT(-_xlfn.XLOOKUP(Tab_NewTRADER[[#This Row],[ClickTick]],TabCalc[Ticker],ListReverseB),"#,#0")&amp;"$","")</f>
        <v>427.54x9=   22$</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45" s="226" t="str">
        <f ca="1">IFERROR(TRUNC(TabCalc[[#This Row],[L_S1p]],2)&amp;"x"&amp;TabCalc[[#This Row],[L_S1n]]&amp;"=   "&amp;TEXT(TabCalc[[#This Row],[ReverseB1]],"#,#0"),"")</f>
        <v>333.93x390=   -37,479</v>
      </c>
      <c r="J45" s="295">
        <f ca="1">_xlfn.XLOOKUP(Tab_NewTRADER[[#This Row],[ClickTick]],TabCalc[Ticker],ListGravity)</f>
        <v>0.90997848987279972</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1.0965756499001196</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0.27791150337285664</v>
      </c>
      <c r="S45" s="683">
        <f ca="1">_xlfn.XLOOKUP(Tab_NewTRADER[[#This Row],[ClickTick]],TabCalc[Ticker],TabCalc[Rev(MinStock)])*(1-Commission)</f>
        <v>93.276847999999973</v>
      </c>
      <c r="T45" s="782">
        <f ca="1">_xlfn.XLOOKUP(Tab_NewTRADER[[#This Row],[ClickTick]],TabCalc[Ticker],TabCalc[Agiotage])</f>
        <v>1.0965756499001196</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-8/-8=&gt;-3.6% / -3.6%</v>
      </c>
      <c r="V45" s="739" t="str">
        <f ca="1">_xlfn.XLOOKUP(Tab_NewTRADER[[#This Row],[ClickTick]],[1]!RTData[Ticker_Symbol],[1]!RTData[Currency])</f>
        <v>USD</v>
      </c>
      <c r="W45" s="749">
        <f ca="1">_xlfn.XLOOKUP(Tab_NewTRADER[[#This Row],[ClickTick]],TabCalc[Ticker],TabCalc[M])</f>
        <v>430.03</v>
      </c>
      <c r="X45" s="1343"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E45" s="1195" t="str" cm="1">
        <f t="array" aca="1" ref="AE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5" s="1177" t="str" cm="1">
        <f t="array" aca="1" ref="AF45" ca="1">_xlfn.IFS(       Tab_NewTRADER[[#This Row],[Trap_vs_Last]]=RePurchaseGain,TEXT(Tab_NewTRADER[[#This Row],[L_Sn]],"#,#0")&amp;" x "&amp;TEXT(Tab_NewTRADER[[#This Row],[L_Sp]],"#,#0.#0"),     Tab_NewTRADER[[#This Row],[Trap_vs_Last]]=ReSaleGain,Tab_NewTRADER[[#This Row],[ToSell]],               TRUE,"")</f>
        <v/>
      </c>
      <c r="AG45" s="1177" t="str" cm="1">
        <f t="array" aca="1" ref="AG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427.54</v>
      </c>
      <c r="AH45" s="1370" t="str">
        <f ca="1">TEXT(MIN(Tab_NewTRADER[[#This Row],[L_Bn]],Tab_NewTRADER[[#This Row],[N]]),"#,#0")&amp;" x "&amp;TEXT(Tab_NewTRADER[[#This Row],[L_Bp]],"#,#0.#0")</f>
        <v>1 x -336.51</v>
      </c>
      <c r="AI45" s="1370">
        <f ca="1">IF(Tab_NewTRADER[[#This Row],[M]]&lt;_xlfn.XLOOKUP(Tab_NewTRADER[[#This Row],[ClickTick]],TabCalc[Ticker],TabCalc[Max_Buy_P]), 0,Tab_NewTRADER[[#This Row],[Sale_Back_$]])</f>
        <v>93.276847999999973</v>
      </c>
      <c r="AJ45" s="1370" t="str">
        <f ca="1">TEXT(Tab_NewTRADER[[#This Row],[L_Sn]],"#,#0")&amp;" ("&amp;Tab_NewTRADER[[#This Row],[M]]&amp;"/"&amp;TEXT(Tab_NewTRADER[[#This Row],[L_Sp]],"#,#0.#0)")</f>
        <v>9 (430.03/427.54)</v>
      </c>
      <c r="AK45" s="1370">
        <f ca="1">IF(Tab_NewTRADER[[#This Row],[M]]&lt;_xlfn.XLOOKUP(Tab_NewTRADER[[#This Row],[ClickTick]],TabCalc[Ticker],TabCalc[Max_Buy_P]), -Tab_NewTRADER[[#This Row],[Buy_Back]], 0)</f>
        <v>0</v>
      </c>
      <c r="AL45" s="1177" cm="1">
        <f t="array" aca="1" ref="AL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2.4835259999999524</v>
      </c>
      <c r="AM45" s="760">
        <f ca="1">Tab_NewTRADER[[#This Row],[N]]*(Tab_NewTRADER[[#This Row],[M]]-Tab_NewTRADER[[#This Row],[A]])*(1-Commission)*Tab_NewTRADER[[#This Row],[Scale]]</f>
        <v>93.276847999999973</v>
      </c>
      <c r="AN45" s="760">
        <f ca="1">Tab_NewTRADER[[#This Row],[M]]*Tab_NewTRADER[[#This Row],[N]]*(1-Commission)*Tab_NewTRADER[[#This Row],[Scale]]</f>
        <v>428.91192199999995</v>
      </c>
      <c r="AO45" s="1186" cm="1">
        <f t="array" aca="1" ref="AO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0.27791150337285664</v>
      </c>
      <c r="AP45" s="1186" cm="1">
        <f t="array" aca="1" ref="AP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3.1902937004393934E-3</v>
      </c>
      <c r="AQ45" s="825" cm="1">
        <f t="array" aca="1" ref="AQ45" ca="1">_xlfn.IFS(   Tab_NewTRADER[[#This Row],[Trap_vs_Last]]=SellMorePercentGain,                     MIN(Tab_NewTRADER[[#This Row],[L_Sn]],Tab_NewTRADER[[#This Row],[N]])*(Tab_NewTRADER[[#This Row],[M]]-Tab_NewTRADER[[#This Row],[L_Sp]])*(1-Commission)*Tab_NewTRADER[[#This Row],[Scale]],                    TRUE,"")</f>
        <v>2.4835259999999524</v>
      </c>
      <c r="AR45" s="1175">
        <f ca="1">_xlfn.XLOOKUP(Tab_NewTRADER[[#This Row],[ClickTick]],TabCalc[Ticker],TabCalc[Ann%RevLB])</f>
        <v>0.37331395975458359</v>
      </c>
      <c r="AS45" s="1282">
        <f ca="1">_xlfn.XLOOKUP(Tab_NewTRADER[[#This Row],[ClickTick]],TabCalc[Ticker],TabCalc[Up20])</f>
        <v>0</v>
      </c>
      <c r="AT45" s="1187" t="str" cm="1">
        <f t="array" aca="1" ref="AT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45" s="825" t="str" cm="1">
        <f t="array" aca="1" ref="AU45" ca="1">_xlfn.IFS(         Tab_NewTRADER[[#This Row],[Trap_vs_Last]]=MDown,Tab_NewTRADER[[#This Row],[L_Bn]]*Tab_NewTRADER[[#This Row],[M]]*(-(Tab_NewTRADER[[#This Row],[L_Bp]]+Tab_NewTRADER[[#This Row],[M]])/Tab_NewTRADER[[#This Row],[M]])*(1-Commission)*Tab_NewTRADER[[#This Row],[Scale]],                               TRUE,"")</f>
        <v/>
      </c>
      <c r="AV45" s="1186" cm="1">
        <f t="array" aca="1" ref="AV45" ca="1">_xlfn.IFS(   Tab_NewTRADER[[#This Row],[Trap_vs_Last]]=MUp,Tab_NewTRADER[[#This Row],[TakeGain_A]]-Commission,        Tab_NewTRADER[[#This Row],[Trap_vs_Last]]=MDown,(Tab_NewTRADER[[#This Row],[A]]-Tab_NewTRADER[[#This Row],[M]])/Tab_NewTRADER[[#This Row],[M]]-Commission,                              TRUE,"")</f>
        <v>0.27531150337285665</v>
      </c>
      <c r="AW45" s="760" cm="1">
        <f t="array" aca="1" ref="AW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119.19955705756141</v>
      </c>
      <c r="AX45" s="760" t="str" cm="1">
        <f t="array" aca="1" ref="AX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45" s="736" t="str" cm="1">
        <f t="array" aca="1" ref="AY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1x93.52</v>
      </c>
      <c r="AZ45" s="765" cm="1">
        <f t="array" aca="1" ref="AZ45" ca="1">_xlfn.IFS(Tab_NewTRADER[[#This Row],[Trap_vs_Last]]=ReSaleGain,"",         Tab_NewTRADER[[#This Row],[Trap_vs_Last]]=MDown, (Tab_NewTRADER[[#This Row],[M]]-Tab_NewTRADER[[#This Row],[A]])/Tab_NewTRADER[[#This Row],[A]]*ComFactor,             TRUE, IFERROR((Tab_NewTRADER[[#This Row],[M]]-Tab_NewTRADER[[#This Row],[A]])/Tab_NewTRADER[[#This Row],[A]]*ComFactor,""))</f>
        <v>0.27718893346408718</v>
      </c>
      <c r="BA45" s="762" cm="1">
        <f t="array" aca="1" ref="BA45" ca="1">_xlfn.IFS(               Tab_NewTRADER[[#This Row],[Trap_vs_Last]]=NoStock,(Tab_NewTRADER[[#This Row],[L_Sp]]-Tab_NewTRADER[[#This Row],[M]])/Tab_NewTRADER[[#This Row],[M]]-Commission,             Tab_NewTRADER[[#This Row],[A]]&lt;&gt;0,(Tab_NewTRADER[[#This Row],[A]]-Tab_NewTRADER[[#This Row],[M]])/Tab_NewTRADER[[#This Row],[M]]-Commission)</f>
        <v>-0.22007319954421781</v>
      </c>
      <c r="BB45" s="324">
        <f ca="1">_xlfn.XLOOKUP(Tab_NewTRADER[[#This Row],[ClickTick]],TabCalc[Ticker],TabCalc[L_Sn])</f>
        <v>9</v>
      </c>
      <c r="BC45" s="728">
        <f ca="1">_xlfn.XLOOKUP(Tab_NewTRADER[[#This Row],[ClickTick]],TabCalc[Ticker],TabCalc[L_Sp])</f>
        <v>427.54</v>
      </c>
      <c r="BD45" s="764">
        <f ca="1">-IFERROR((Tab_NewTRADER[[#This Row],[M]]-Tab_NewTRADER[[#This Row],[L_Sp]])/Tab_NewTRADER[[#This Row],[L_Sp]],0)</f>
        <v>-5.8240164662954393E-3</v>
      </c>
      <c r="BE45" s="729">
        <f ca="1">MIN(Tab_NewTRADER[[#This Row],[L_Sn]],Tab_NewTRADER[[#This Row],[N]])*(Tab_NewTRADER[[#This Row],[M]]-Tab_NewTRADER[[#This Row],[L_Sp]])*(1-Commission)*Tab_NewTRADER[[#This Row],[Scale]]</f>
        <v>2.4835259999999524</v>
      </c>
      <c r="BF45" s="692">
        <f ca="1">Tab_NewTRADER[[#This Row],[L_Sn]]*(Tab_NewTRADER[[#This Row],[Agiotage]]-Tab_NewTRADER[[#This Row],[M]])/(Tab_NewTRADER[[#This Row],[L_Bn]]*Tab_NewTRADER[[#This Row],[M]])</f>
        <v>-2.2442625044478866E-2</v>
      </c>
      <c r="BG45" s="635">
        <f ca="1">IFERROR((Tab_NewTRADER[[#This Row],[M]]-Tab_NewTRADER[[#This Row],[A]])/Tab_NewTRADER[[#This Row],[A]],0)</f>
        <v>0.27791150337285664</v>
      </c>
      <c r="BH45" s="638" t="str">
        <f ca="1">TEXT(_xlfn.XLOOKUP(Tab_NewTRADER[[#This Row],[ClickTick]],TabCalc[Ticker],TabCalc[NAfter]),"#,#0")&amp;" : "&amp;TEXT(_xlfn.XLOOKUP(Tab_NewTRADER[[#This Row],[ClickTick]],TabCalc[Ticker],TabCalc[NAfter])*(Tab_NewTRADER[[#This Row],[M]]-Tab_NewTRADER[[#This Row],[A]])*(1-Commission)*Tab_NewTRADER[[#This Row],[Scale]],"#,#0$")</f>
        <v>1 : 93$</v>
      </c>
      <c r="BI45" s="684">
        <f ca="1">_xlfn.XLOOKUP(Tab_NewTRADER[[#This Row],[ClickTick]],TabCalc[[#This Row],[Ticker]],TabCalc[[#This Row],[GL]])*(1-Commission)</f>
        <v>87427.884945999991</v>
      </c>
      <c r="BJ45" s="684"/>
      <c r="BK45" s="669" t="str">
        <f ca="1">Tab_NewTRADER[[#This Row],[ClickTick]]&amp;": "&amp;_xlfn.XLOOKUP(Tab_NewTRADER[[#This Row],[ClickTick]],TabCalc[Ticker],TabCalc[Pile?])</f>
        <v>TSLA: Pile</v>
      </c>
      <c r="BL45" s="351" t="s">
        <v>2071</v>
      </c>
      <c r="BM45" s="755" t="str" cm="1">
        <f t="array" aca="1" ref="BM45" ca="1">_xlfn.TEXTJOIN("",,INDEX({"M","A","Y"}, _xlfn.SORTBY({1,2,3}, -CHOOSE({1,2,3}, Tab_NewTRADER[[#This Row],[M]], Tab_NewTRADER[[#This Row],[A]], Tab_NewTRADER[[#This Row],[Agiotage]]))))</f>
        <v>MAY</v>
      </c>
      <c r="BN45" s="909" cm="1">
        <f t="array" aca="1" ref="BN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5.7902937004393933E-3</v>
      </c>
      <c r="BO45" s="679">
        <f ca="1">Tab_NewTRADER[[#This Row],[L_Sn]]*Tab_NewTRADER[[#This Row],[L_Sp]]+Tab_NewTRADER[[#This Row],[SellMore]]*Tab_NewTRADER[[#This Row],[M]]</f>
        <v>4277.8900000000003</v>
      </c>
      <c r="BP45" s="679">
        <f ca="1">INDEX(
  INDEX(TabConsolid[], , _xlfn.XMATCH(Tab_NewTRADER[[#This Row],[ClickTick]]&amp;1, TabConsolid[#Headers])),
  MATCH(
    -Tab_NewTRADER[[#This Row],[M]],
    INDEX(TabConsolid[], , _xlfn.XMATCH(Tab_NewTRADER[[#This Row],[ClickTick]]&amp;2, TabConsolid[#Headers])),
    -1
  )
)</f>
        <v>1</v>
      </c>
      <c r="BQ45" s="679" cm="1">
        <f t="array" aca="1" ref="BQ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5" s="1156">
        <f ca="1">Tab_NewTRADER[[#This Row],[ReBuy]]/(Tab_NewTRADER[[#This Row],[L_Sn]]+Tab_NewTRADER[[#This Row],[SellMore]])</f>
        <v>427.78900000000004</v>
      </c>
      <c r="BS45" s="687">
        <f ca="1">((_xlfn.XLOOKUP(Tab_NewTRADER[[#This Row],[ClickTick]],TabCalc[Ticker],TabCalc[NAfter])+Tab_NewTRADER[[#This Row],[L_Sn]])*(Tab_NewTRADER[[#This Row],[Agiotage]]-Tab_NewTRADER[[#This Row],[M]]))/(Tab_NewTRADER[[#This Row],[L_Sn]]*_xlfn.XLOOKUP(Tab_NewTRADER[[#This Row],[ClickTick]],TabCalc[Ticker],TabCalc[NAfter]))</f>
        <v>-476.59269372233325</v>
      </c>
      <c r="BT45" s="687">
        <f ca="1">(Tab_NewTRADER[[#This Row],[M]]-Tab_NewTRADER[[#This Row],[Agiotage]])/(Tab_NewTRADER[[#This Row],[M]]-Tab_NewTRADER[[#This Row],[A]])-1</f>
        <v>3.5865421765408465</v>
      </c>
      <c r="BU45" s="1277">
        <f ca="1">_xlfn.XMATCH(Tab_NewTRADER[[#This Row],[ClickTick]]&amp;1, TabConsolid[#Headers])</f>
        <v>128</v>
      </c>
      <c r="BV45" t="b">
        <f ca="1">IF(ABS(Tab_NewTRADER[[#This Row],[L_Bp]])&gt;=Tab_NewTRADER[[#This Row],[M]],"OK")</f>
        <v>0</v>
      </c>
    </row>
    <row r="46" spans="1:74"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-442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-0.2%</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1,667</v>
      </c>
      <c r="F46" s="226"/>
      <c r="G46" s="225"/>
      <c r="H46" s="493"/>
      <c r="I46" s="1123"/>
      <c r="J46" s="295">
        <f ca="1">_xlfn.XLOOKUP(Tab_NewTRADER[[#This Row],[ClickTick]],TabCalc[Ticker],ListGravity)</f>
        <v>1.1733317474199754</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714625</v>
      </c>
      <c r="M46" s="323">
        <f ca="1">_xlfn.XLOOKUP(Tab_NewTRADER[[#This Row],[ClickTick]],TabCalc[Ticker],TabCalc[Agiotage])</f>
        <v>0.9367792081917965</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-1.9291032724922173E-3</v>
      </c>
      <c r="S46" s="683">
        <f ca="1">_xlfn.XLOOKUP(Tab_NewTRADER[[#This Row],[ClickTick]],TabCalc[Ticker],TabCalc[Rev(MinStock)])*(1-Commission)</f>
        <v>-440.85079999996191</v>
      </c>
      <c r="T46" s="1356">
        <f ca="1">_xlfn.XLOOKUP(Tab_NewTRADER[[#This Row],[ClickTick]],TabCalc[Ticker],TabCalc[Agiotage])</f>
        <v>0.9367792081917965</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3,353/3,353=&gt;-1.2% / -1.2%</v>
      </c>
      <c r="V46" s="1358" t="str">
        <f ca="1">_xlfn.XLOOKUP(Tab_NewTRADER[[#This Row],[ClickTick]],[1]!RTData[Ticker_Symbol],[1]!RTData[Currency])</f>
        <v>USD</v>
      </c>
      <c r="W46" s="749">
        <f ca="1">_xlfn.XLOOKUP(Tab_NewTRADER[[#This Row],[ClickTick]],TabCalc[Ticker],TabCalc[M])</f>
        <v>285.85000000000002</v>
      </c>
      <c r="X46" s="1343"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^903 / 1,286 K$</v>
      </c>
      <c r="AE46" s="1173" t="str" cm="1">
        <f t="array" aca="1" ref="AE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6" s="1177" t="str" cm="1">
        <f t="array" aca="1" ref="AF46" ca="1">_xlfn.IFS(       Tab_NewTRADER[[#This Row],[Trap_vs_Last]]=RePurchaseGain,TEXT(Tab_NewTRADER[[#This Row],[L_Sn]],"#,#0")&amp;" x "&amp;TEXT(Tab_NewTRADER[[#This Row],[L_Sp]],"#,#0.#0"),     Tab_NewTRADER[[#This Row],[Trap_vs_Last]]=ReSaleGain,Tab_NewTRADER[[#This Row],[ToSell]],               TRUE,"")</f>
        <v>300 x 288.85</v>
      </c>
      <c r="AG46" s="1177" cm="1">
        <f t="array" aca="1" ref="AG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897.66</v>
      </c>
      <c r="AH46" s="1370" t="str">
        <f ca="1">TEXT(MIN(Tab_NewTRADER[[#This Row],[L_Bn]],Tab_NewTRADER[[#This Row],[N]]),"#,#0")&amp;" x "&amp;TEXT(Tab_NewTRADER[[#This Row],[L_Bp]],"#,#0.#0")</f>
        <v>800 x -286.40</v>
      </c>
      <c r="AI46" s="1370">
        <f ca="1">IF(Tab_NewTRADER[[#This Row],[M]]&lt;_xlfn.XLOOKUP(Tab_NewTRADER[[#This Row],[ClickTick]],TabCalc[Ticker],TabCalc[Max_Buy_P]), 0,Tab_NewTRADER[[#This Row],[Sale_Back_$]])</f>
        <v>0</v>
      </c>
      <c r="AJ46" s="1370" t="str">
        <f ca="1">TEXT(Tab_NewTRADER[[#This Row],[L_Sn]],"#,#0")&amp;" ("&amp;Tab_NewTRADER[[#This Row],[M]]&amp;"/"&amp;TEXT(Tab_NewTRADER[[#This Row],[L_Sp]],"#,#0.#0)")</f>
        <v>300 (285.85/288.85)</v>
      </c>
      <c r="AK46" s="1370">
        <f ca="1">IF(Tab_NewTRADER[[#This Row],[M]]&lt;_xlfn.XLOOKUP(Tab_NewTRADER[[#This Row],[ClickTick]],TabCalc[Ticker],TabCalc[Max_Buy_P]), -Tab_NewTRADER[[#This Row],[Buy_Back]], 0)</f>
        <v>897.66</v>
      </c>
      <c r="AL46" s="1177" t="str" cm="1">
        <f t="array" aca="1" ref="AL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6" s="760">
        <f ca="1">Tab_NewTRADER[[#This Row],[N]]*(Tab_NewTRADER[[#This Row],[M]]-Tab_NewTRADER[[#This Row],[A]])*(1-Commission)*Tab_NewTRADER[[#This Row],[Scale]]</f>
        <v>367579.12234462518</v>
      </c>
      <c r="AN46" s="760">
        <f ca="1">Tab_NewTRADER[[#This Row],[M]]*Tab_NewTRADER[[#This Row],[N]]*(1-Commission)*Tab_NewTRADER[[#This Row],[Scale]]</f>
        <v>1282980.5549999999</v>
      </c>
      <c r="AO46" s="1186" cm="1">
        <f t="array" aca="1" ref="AO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1.0386013501817552E-2</v>
      </c>
      <c r="AP46" s="1186" t="str" cm="1">
        <f t="array" aca="1" ref="AP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6" s="760" t="str" cm="1">
        <f t="array" aca="1" ref="AQ46" ca="1">_xlfn.IFS(   Tab_NewTRADER[[#This Row],[Trap_vs_Last]]=SellMorePercentGain,                     MIN(Tab_NewTRADER[[#This Row],[L_Sn]],Tab_NewTRADER[[#This Row],[N]])*(Tab_NewTRADER[[#This Row],[M]]-Tab_NewTRADER[[#This Row],[L_Sp]])*(1-Commission)*Tab_NewTRADER[[#This Row],[Scale]],                    TRUE,"")</f>
        <v/>
      </c>
      <c r="AR46" s="1175">
        <f ca="1">_xlfn.XLOOKUP(Tab_NewTRADER[[#This Row],[ClickTick]],TabCalc[Ticker],TabCalc[Ann%RevLB])</f>
        <v>-4.3404823631074889E-2</v>
      </c>
      <c r="AS46" s="1282">
        <f ca="1">_xlfn.XLOOKUP(Tab_NewTRADER[[#This Row],[ClickTick]],TabCalc[Ticker],TabCalc[Up20])</f>
        <v>0</v>
      </c>
      <c r="AT46" s="1361" t="str" cm="1">
        <f t="array" aca="1" ref="AT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6" s="760" t="str" cm="1">
        <f t="array" aca="1" ref="AU46" ca="1">_xlfn.IFS(         Tab_NewTRADER[[#This Row],[Trap_vs_Last]]=MDown,Tab_NewTRADER[[#This Row],[L_Bn]]*Tab_NewTRADER[[#This Row],[M]]*(-(Tab_NewTRADER[[#This Row],[L_Bp]]+Tab_NewTRADER[[#This Row],[M]])/Tab_NewTRADER[[#This Row],[M]])*(1-Commission)*Tab_NewTRADER[[#This Row],[Scale]],                               TRUE,"")</f>
        <v/>
      </c>
      <c r="AV46" s="1186" t="str" cm="1">
        <f t="array" aca="1" ref="AV46" ca="1">_xlfn.IFS(   Tab_NewTRADER[[#This Row],[Trap_vs_Last]]=MUp,Tab_NewTRADER[[#This Row],[TakeGain_A]]-Commission,        Tab_NewTRADER[[#This Row],[Trap_vs_Last]]=MDown,(Tab_NewTRADER[[#This Row],[A]]-Tab_NewTRADER[[#This Row],[M]])/Tab_NewTRADER[[#This Row],[M]]-Commission,                              TRUE,"")</f>
        <v/>
      </c>
      <c r="AW46" s="825" cm="1">
        <f t="array" aca="1" ref="AW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367579.12234462518</v>
      </c>
      <c r="AX46" s="760" t="str" cm="1">
        <f t="array" aca="1" ref="AX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46" s="1132" t="str" cm="1">
        <f t="array" aca="1" ref="AY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6" s="765" cm="1">
        <f t="array" aca="1" ref="AZ46" ca="1">_xlfn.IFS(Tab_NewTRADER[[#This Row],[Trap_vs_Last]]=ReSaleGain,"",         Tab_NewTRADER[[#This Row],[Trap_vs_Last]]=MDown, (Tab_NewTRADER[[#This Row],[M]]-Tab_NewTRADER[[#This Row],[A]])/Tab_NewTRADER[[#This Row],[A]]*ComFactor,             TRUE, IFERROR((Tab_NewTRADER[[#This Row],[M]]-Tab_NewTRADER[[#This Row],[A]])/Tab_NewTRADER[[#This Row],[A]]*ComFactor,""))</f>
        <v>0.40050561813415186</v>
      </c>
      <c r="BA46" s="762" cm="1">
        <f t="array" aca="1" ref="BA46" ca="1">_xlfn.IFS(               Tab_NewTRADER[[#This Row],[Trap_vs_Last]]=NoStock,(Tab_NewTRADER[[#This Row],[L_Sp]]-Tab_NewTRADER[[#This Row],[M]])/Tab_NewTRADER[[#This Row],[M]]-Commission,             Tab_NewTRADER[[#This Row],[A]]&lt;&gt;0,(Tab_NewTRADER[[#This Row],[A]]-Tab_NewTRADER[[#This Row],[M]])/Tab_NewTRADER[[#This Row],[M]]-Commission)</f>
        <v>-0.28910404786892907</v>
      </c>
      <c r="BB46" s="1363">
        <f ca="1">_xlfn.XLOOKUP(Tab_NewTRADER[[#This Row],[ClickTick]],TabCalc[Ticker],TabCalc[L_Sn])</f>
        <v>300</v>
      </c>
      <c r="BC46" s="728">
        <f ca="1">_xlfn.XLOOKUP(Tab_NewTRADER[[#This Row],[ClickTick]],TabCalc[Ticker],TabCalc[L_Sp])</f>
        <v>288.85000000000002</v>
      </c>
      <c r="BD46" s="1126">
        <f ca="1">-IFERROR((Tab_NewTRADER[[#This Row],[M]]-Tab_NewTRADER[[#This Row],[L_Sp]])/Tab_NewTRADER[[#This Row],[L_Sp]],0)</f>
        <v>1.0386013501817552E-2</v>
      </c>
      <c r="BE46" s="1135">
        <f ca="1">MIN(Tab_NewTRADER[[#This Row],[L_Sn]],Tab_NewTRADER[[#This Row],[N]])*(Tab_NewTRADER[[#This Row],[M]]-Tab_NewTRADER[[#This Row],[L_Sp]])*(1-Commission)*Tab_NewTRADER[[#This Row],[Scale]]</f>
        <v>-897.66</v>
      </c>
      <c r="BF46" s="692">
        <f ca="1">Tab_NewTRADER[[#This Row],[L_Sn]]*(Tab_NewTRADER[[#This Row],[Agiotage]]-Tab_NewTRADER[[#This Row],[M]])/(Tab_NewTRADER[[#This Row],[L_Bn]]*Tab_NewTRADER[[#This Row],[M]])</f>
        <v>-0.37377106103525648</v>
      </c>
      <c r="BG46" s="1136">
        <f ca="1">IFERROR((Tab_NewTRADER[[#This Row],[M]]-Tab_NewTRADER[[#This Row],[A]])/Tab_NewTRADER[[#This Row],[A]],0)</f>
        <v>0.40154964721691588</v>
      </c>
      <c r="BH46" s="638" t="str">
        <f ca="1">TEXT(_xlfn.XLOOKUP(Tab_NewTRADER[[#This Row],[ClickTick]],TabCalc[Ticker],TabCalc[NAfter]),"#,#0")&amp;" : "&amp;TEXT(_xlfn.XLOOKUP(Tab_NewTRADER[[#This Row],[ClickTick]],TabCalc[Ticker],TabCalc[NAfter])*(Tab_NewTRADER[[#This Row],[M]]-Tab_NewTRADER[[#This Row],[A]])*(1-Commission)*Tab_NewTRADER[[#This Row],[Scale]],"#,#0$")</f>
        <v>4,500 : 367,579$</v>
      </c>
      <c r="BI46" s="684"/>
      <c r="BJ46" s="684"/>
      <c r="BK46" s="669" t="str">
        <f ca="1">Tab_NewTRADER[[#This Row],[ClickTick]]&amp;": "&amp;_xlfn.XLOOKUP(Tab_NewTRADER[[#This Row],[ClickTick]],TabCalc[Ticker],TabCalc[Pile?])</f>
        <v xml:space="preserve">TSM: </v>
      </c>
      <c r="BL46" s="351"/>
      <c r="BM46" s="1365" t="str" cm="1">
        <f t="array" aca="1" ref="BM46" ca="1">_xlfn.TEXTJOIN("",,INDEX({"M","A","Y"}, _xlfn.SORTBY({1,2,3}, -CHOOSE({1,2,3}, Tab_NewTRADER[[#This Row],[M]], Tab_NewTRADER[[#This Row],[A]], Tab_NewTRADER[[#This Row],[Agiotage]]))))</f>
        <v>MAY</v>
      </c>
      <c r="BN46" s="909" t="str" cm="1">
        <f t="array" aca="1" ref="BN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6" s="679">
        <f ca="1">Tab_NewTRADER[[#This Row],[L_Sn]]*Tab_NewTRADER[[#This Row],[L_Sp]]+Tab_NewTRADER[[#This Row],[SellMore]]*Tab_NewTRADER[[#This Row],[M]]</f>
        <v>229580</v>
      </c>
      <c r="BP46" s="679">
        <f ca="1">INDEX(
  INDEX(TabConsolid[], , _xlfn.XMATCH(Tab_NewTRADER[[#This Row],[ClickTick]]&amp;1, TabConsolid[#Headers])),
  MATCH(
    -Tab_NewTRADER[[#This Row],[M]],
    INDEX(TabConsolid[], , _xlfn.XMATCH(Tab_NewTRADER[[#This Row],[ClickTick]]&amp;2, TabConsolid[#Headers])),
    -1
  )
)</f>
        <v>500</v>
      </c>
      <c r="BQ46" s="679" cm="1">
        <f t="array" aca="1" ref="BQ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R46" s="1156">
        <f ca="1">Tab_NewTRADER[[#This Row],[ReBuy]]/(Tab_NewTRADER[[#This Row],[L_Sn]]+Tab_NewTRADER[[#This Row],[SellMore]])</f>
        <v>286.97500000000002</v>
      </c>
      <c r="BS46" s="687">
        <f ca="1">((_xlfn.XLOOKUP(Tab_NewTRADER[[#This Row],[ClickTick]],TabCalc[Ticker],TabCalc[NAfter])+Tab_NewTRADER[[#This Row],[L_Sn]])*(Tab_NewTRADER[[#This Row],[Agiotage]]-Tab_NewTRADER[[#This Row],[M]]))/(Tab_NewTRADER[[#This Row],[L_Sn]]*_xlfn.XLOOKUP(Tab_NewTRADER[[#This Row],[ClickTick]],TabCalc[Ticker],TabCalc[NAfter]))</f>
        <v>-1.0130247850375405</v>
      </c>
      <c r="BT46" s="687">
        <f ca="1">(Tab_NewTRADER[[#This Row],[M]]-Tab_NewTRADER[[#This Row],[Agiotage]])/(Tab_NewTRADER[[#This Row],[M]]-Tab_NewTRADER[[#This Row],[A]])-1</f>
        <v>2.4789136029356738</v>
      </c>
      <c r="BU46" s="1277">
        <f ca="1">_xlfn.XMATCH(Tab_NewTRADER[[#This Row],[ClickTick]]&amp;1, TabConsolid[#Headers])</f>
        <v>131</v>
      </c>
      <c r="BV46" t="str">
        <f ca="1">IF(ABS(Tab_NewTRADER[[#This Row],[L_Bp]])&gt;=Tab_NewTRADER[[#This Row],[M]],"OK")</f>
        <v>OK</v>
      </c>
    </row>
    <row r="47" spans="1:74"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-3,059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-30.7%</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-4,973$</v>
      </c>
      <c r="G47" s="225" t="str">
        <f ca="1">IFERROR(TRUNC(_xlfn.XLOOKUP(Tab_NewTRADER[[#This Row],[ClickTick]],TabCalc[Ticker],ListLastSalep),2)&amp;"x"&amp;_xlfn.XLOOKUP(Tab_NewTRADER[[#This Row],[ClickTick]],TabCalc[Ticker],ListLastSalen)&amp;"=   "&amp;TEXT(-_xlfn.XLOOKUP(Tab_NewTRADER[[#This Row],[ClickTick]],TabCalc[Ticker],ListReverseB),"#,#0")&amp;"$","")</f>
        <v>44.29x350=   -5,530$</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55.4% = 316</v>
      </c>
      <c r="I47" s="226" t="str">
        <f ca="1">IFERROR(TRUNC(TabCalc[[#This Row],[L_S1p]],2)&amp;"x"&amp;TabCalc[[#This Row],[L_S1n]]&amp;"=   "&amp;TEXT(TabCalc[[#This Row],[ReverseB1]],"#,#0"),"")</f>
        <v>43.37x2500=   37,175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65550</v>
      </c>
      <c r="M47" s="323">
        <f ca="1">_xlfn.XLOOKUP(Tab_NewTRADER[[#This Row],[ClickTick]],TabCalc[Ticker],TabCalc[Agiotage])</f>
        <v>1.1342155009451797E-2</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-0.23470826273405165</v>
      </c>
      <c r="S47" s="683">
        <f ca="1">_xlfn.XLOOKUP(Tab_NewTRADER[[#This Row],[ClickTick]],TabCalc[Ticker],TabCalc[Rev(MinStock)])*(1-Commission)</f>
        <v>-3051.290962999999</v>
      </c>
      <c r="T47" s="782">
        <f ca="1">_xlfn.XLOOKUP(Tab_NewTRADER[[#This Row],[ClickTick]],TabCalc[Ticker],TabCalc[Agiotage])</f>
        <v>1.1342155009451797E-2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300/300=&gt;2.0% / 2.0%</v>
      </c>
      <c r="V47" s="739" t="str">
        <f ca="1">_xlfn.XLOOKUP(Tab_NewTRADER[[#This Row],[ClickTick]],[1]!RTData[Ticker_Symbol],[1]!RTData[Currency])</f>
        <v>EUR</v>
      </c>
      <c r="W47" s="749">
        <f ca="1">_xlfn.XLOOKUP(Tab_NewTRADER[[#This Row],[ClickTick]],TabCalc[Ticker],TabCalc[M])</f>
        <v>28.5</v>
      </c>
      <c r="X47" s="1343"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-204/86 K$</v>
      </c>
      <c r="AE47" s="1195" t="str" cm="1">
        <f t="array" aca="1" ref="AE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7" s="1176" t="str" cm="1">
        <f t="array" aca="1" ref="AF47" ca="1">_xlfn.IFS(       Tab_NewTRADER[[#This Row],[Trap_vs_Last]]=RePurchaseGain,TEXT(Tab_NewTRADER[[#This Row],[L_Sn]],"#,#0")&amp;" x "&amp;TEXT(Tab_NewTRADER[[#This Row],[L_Sp]],"#,#0.#0"),     Tab_NewTRADER[[#This Row],[Trap_vs_Last]]=ReSaleGain,Tab_NewTRADER[[#This Row],[ToSell]],               TRUE,"")</f>
        <v/>
      </c>
      <c r="AG47" s="1177" t="str" cm="1">
        <f t="array" aca="1" ref="AG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H47" s="1370" t="str">
        <f ca="1">TEXT(MIN(Tab_NewTRADER[[#This Row],[L_Bn]],Tab_NewTRADER[[#This Row],[N]]),"#,#0")&amp;" x "&amp;TEXT(Tab_NewTRADER[[#This Row],[L_Bp]],"#,#0.#0")</f>
        <v>350 x -37.24</v>
      </c>
      <c r="AI47" s="1370">
        <f ca="1">IF(Tab_NewTRADER[[#This Row],[M]]&lt;_xlfn.XLOOKUP(Tab_NewTRADER[[#This Row],[ClickTick]],TabCalc[Ticker],TabCalc[Max_Buy_P]), 0,Tab_NewTRADER[[#This Row],[Sale_Back_$]])</f>
        <v>0</v>
      </c>
      <c r="AJ47" s="1370" t="str">
        <f ca="1">TEXT(Tab_NewTRADER[[#This Row],[L_Sn]],"#,#0")&amp;" ("&amp;Tab_NewTRADER[[#This Row],[M]]&amp;"/"&amp;TEXT(Tab_NewTRADER[[#This Row],[L_Sp]],"#,#0.#0)")</f>
        <v>350 (28.5/44.30)</v>
      </c>
      <c r="AK47" s="1370">
        <f ca="1">IF(Tab_NewTRADER[[#This Row],[M]]&lt;_xlfn.XLOOKUP(Tab_NewTRADER[[#This Row],[ClickTick]],TabCalc[Ticker],TabCalc[Max_Buy_P]), -Tab_NewTRADER[[#This Row],[Buy_Back]], 0)</f>
        <v>5515.1926192999981</v>
      </c>
      <c r="AL47" s="1177" cm="1">
        <f t="array" aca="1" ref="AL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3051.290962999999</v>
      </c>
      <c r="AM47" s="1177">
        <f ca="1">Tab_NewTRADER[[#This Row],[N]]*(Tab_NewTRADER[[#This Row],[M]]-Tab_NewTRADER[[#This Row],[A]])*(1-Commission)*Tab_NewTRADER[[#This Row],[Scale]]</f>
        <v>-39195.875070000002</v>
      </c>
      <c r="AN47" s="1177">
        <f ca="1">Tab_NewTRADER[[#This Row],[M]]*Tab_NewTRADER[[#This Row],[N]]*(1-Commission)*Tab_NewTRADER[[#This Row],[Scale]]</f>
        <v>85277.7</v>
      </c>
      <c r="AO47" s="1185" cm="1">
        <f t="array" aca="1" ref="AO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0.3148931413591799</v>
      </c>
      <c r="AP47" s="1186" cm="1">
        <f t="array" aca="1" ref="AP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0.30409122807017536</v>
      </c>
      <c r="AQ47" s="825" t="str" cm="1">
        <f t="array" aca="1" ref="AQ47" ca="1">_xlfn.IFS(   Tab_NewTRADER[[#This Row],[Trap_vs_Last]]=SellMorePercentGain,                     MIN(Tab_NewTRADER[[#This Row],[L_Sn]],Tab_NewTRADER[[#This Row],[N]])*(Tab_NewTRADER[[#This Row],[M]]-Tab_NewTRADER[[#This Row],[L_Sp]])*(1-Commission)*Tab_NewTRADER[[#This Row],[Scale]],                    TRUE,"")</f>
        <v/>
      </c>
      <c r="AR47" s="1175">
        <f ca="1">_xlfn.XLOOKUP(Tab_NewTRADER[[#This Row],[ClickTick]],TabCalc[Ticker],TabCalc[Ann%RevLB])</f>
        <v>-0.75441941593088035</v>
      </c>
      <c r="AS47" s="1282">
        <f ca="1">_xlfn.XLOOKUP(Tab_NewTRADER[[#This Row],[ClickTick]],TabCalc[Ticker],TabCalc[Up20])</f>
        <v>0</v>
      </c>
      <c r="AT47" s="310" cm="1">
        <f t="array" aca="1" ref="AT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0.30669122807017535</v>
      </c>
      <c r="AU47" s="825" cm="1">
        <f t="array" aca="1" ref="AU47" ca="1">_xlfn.IFS(         Tab_NewTRADER[[#This Row],[Trap_vs_Last]]=MDown,Tab_NewTRADER[[#This Row],[L_Bn]]*Tab_NewTRADER[[#This Row],[M]]*(-(Tab_NewTRADER[[#This Row],[L_Bp]]+Tab_NewTRADER[[#This Row],[M]])/Tab_NewTRADER[[#This Row],[M]])*(1-Commission)*Tab_NewTRADER[[#This Row],[Scale]],                               TRUE,"")</f>
        <v>3051.290962999999</v>
      </c>
      <c r="AV47" s="1186" cm="1">
        <f t="array" aca="1" ref="AV47" ca="1">_xlfn.IFS(   Tab_NewTRADER[[#This Row],[Trap_vs_Last]]=MUp,Tab_NewTRADER[[#This Row],[TakeGain_A]]-Commission,        Tab_NewTRADER[[#This Row],[Trap_vs_Last]]=MDown,(Tab_NewTRADER[[#This Row],[A]]-Tab_NewTRADER[[#This Row],[M]])/Tab_NewTRADER[[#This Row],[M]]-Commission,                              TRUE,"")</f>
        <v>0.45702631578947372</v>
      </c>
      <c r="AW47" s="825" cm="1">
        <f t="array" aca="1" ref="AW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39195.875070000002</v>
      </c>
      <c r="AX47" s="760" t="str" cm="1">
        <f t="array" aca="1" ref="AX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Y47" s="736" cm="1">
        <f t="array" aca="1" ref="AY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-8.74</v>
      </c>
      <c r="AZ47" s="765" cm="1">
        <f t="array" aca="1" ref="AZ47" ca="1">_xlfn.IFS(Tab_NewTRADER[[#This Row],[Trap_vs_Last]]=ReSaleGain,"",         Tab_NewTRADER[[#This Row],[Trap_vs_Last]]=MDown, (Tab_NewTRADER[[#This Row],[M]]-Tab_NewTRADER[[#This Row],[A]])/Tab_NewTRADER[[#This Row],[A]]*ComFactor,             TRUE, IFERROR((Tab_NewTRADER[[#This Row],[M]]-Tab_NewTRADER[[#This Row],[A]])/Tab_NewTRADER[[#This Row],[A]]*ComFactor,""))</f>
        <v>-0.31407441919164603</v>
      </c>
      <c r="BA47" s="762" cm="1">
        <f t="array" aca="1" ref="BA47" ca="1">_xlfn.IFS(               Tab_NewTRADER[[#This Row],[Trap_vs_Last]]=NoStock,(Tab_NewTRADER[[#This Row],[L_Sp]]-Tab_NewTRADER[[#This Row],[M]])/Tab_NewTRADER[[#This Row],[M]]-Commission,             Tab_NewTRADER[[#This Row],[A]]&lt;&gt;0,(Tab_NewTRADER[[#This Row],[A]]-Tab_NewTRADER[[#This Row],[M]])/Tab_NewTRADER[[#This Row],[M]]-Commission)</f>
        <v>0.45702631578947372</v>
      </c>
      <c r="BB47" s="324">
        <f ca="1">_xlfn.XLOOKUP(Tab_NewTRADER[[#This Row],[ClickTick]],TabCalc[Ticker],TabCalc[L_Sn])</f>
        <v>350</v>
      </c>
      <c r="BC47" s="728">
        <f ca="1">_xlfn.XLOOKUP(Tab_NewTRADER[[#This Row],[ClickTick]],TabCalc[Ticker],TabCalc[L_Sp])</f>
        <v>44.298769999999998</v>
      </c>
      <c r="BD47" s="764">
        <f ca="1">-IFERROR((Tab_NewTRADER[[#This Row],[M]]-Tab_NewTRADER[[#This Row],[L_Sp]])/Tab_NewTRADER[[#This Row],[L_Sp]],0)</f>
        <v>0.35664127920481764</v>
      </c>
      <c r="BE47" s="729">
        <f ca="1">MIN(Tab_NewTRADER[[#This Row],[L_Sn]],Tab_NewTRADER[[#This Row],[N]])*(Tab_NewTRADER[[#This Row],[M]]-Tab_NewTRADER[[#This Row],[L_Sp]])*(1-Commission)*Tab_NewTRADER[[#This Row],[Scale]]</f>
        <v>-5515.1926192999981</v>
      </c>
      <c r="BF47" s="692">
        <f ca="1">Tab_NewTRADER[[#This Row],[L_Sn]]*(Tab_NewTRADER[[#This Row],[Agiotage]]-Tab_NewTRADER[[#This Row],[M]])/(Tab_NewTRADER[[#This Row],[L_Bn]]*Tab_NewTRADER[[#This Row],[M]])</f>
        <v>-0.99960202964879108</v>
      </c>
      <c r="BG47" s="635">
        <f ca="1">IFERROR((Tab_NewTRADER[[#This Row],[M]]-Tab_NewTRADER[[#This Row],[A]])/Tab_NewTRADER[[#This Row],[A]],0)</f>
        <v>-0.3148931413591799</v>
      </c>
      <c r="BH47" s="638" t="str">
        <f ca="1">TEXT(_xlfn.XLOOKUP(Tab_NewTRADER[[#This Row],[ClickTick]],TabCalc[Ticker],TabCalc[NAfter]),"#,#0")&amp;" : "&amp;TEXT(_xlfn.XLOOKUP(Tab_NewTRADER[[#This Row],[ClickTick]],TabCalc[Ticker],TabCalc[NAfter])*(Tab_NewTRADER[[#This Row],[M]]-Tab_NewTRADER[[#This Row],[A]])*(1-Commission)*Tab_NewTRADER[[#This Row],[Scale]],"#,#0$")</f>
        <v>3,000 : -39,196$</v>
      </c>
      <c r="BI47" s="684">
        <f ca="1">_xlfn.XLOOKUP(Tab_NewTRADER[[#This Row],[ClickTick]],TabCalc[[#This Row],[Ticker]],TabCalc[[#This Row],[GL]])*(1-Commission)</f>
        <v>-203152.621293</v>
      </c>
      <c r="BJ47" s="684"/>
      <c r="BK47" s="669" t="str">
        <f ca="1">Tab_NewTRADER[[#This Row],[ClickTick]]&amp;": "&amp;_xlfn.XLOOKUP(Tab_NewTRADER[[#This Row],[ClickTick]],TabCalc[Ticker],TabCalc[Pile?])</f>
        <v>UN0: Pile</v>
      </c>
      <c r="BL47" s="351" t="s">
        <v>1920</v>
      </c>
      <c r="BM47" s="756" t="str" cm="1">
        <f t="array" aca="1" ref="BM47" ca="1">_xlfn.TEXTJOIN("",,INDEX({"M","A","Y"}, _xlfn.SORTBY({1,2,3}, -CHOOSE({1,2,3}, Tab_NewTRADER[[#This Row],[M]], Tab_NewTRADER[[#This Row],[A]], Tab_NewTRADER[[#This Row],[Agiotage]]))))</f>
        <v>AMY</v>
      </c>
      <c r="BN47" s="909" cm="1">
        <f t="array" aca="1" ref="BN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0.30669122807017535</v>
      </c>
      <c r="BO47" s="679" t="e">
        <f ca="1">Tab_NewTRADER[[#This Row],[L_Sn]]*Tab_NewTRADER[[#This Row],[L_Sp]]+Tab_NewTRADER[[#This Row],[SellMore]]*Tab_NewTRADER[[#This Row],[M]]</f>
        <v>#N/A</v>
      </c>
      <c r="BP47" s="679" t="e">
        <f ca="1">INDEX(
  INDEX(TabConsolid[], , _xlfn.XMATCH(Tab_NewTRADER[[#This Row],[ClickTick]]&amp;1, TabConsolid[#Headers])),
  MATCH(
    -Tab_NewTRADER[[#This Row],[M]],
    INDEX(TabConsolid[], , _xlfn.XMATCH(Tab_NewTRADER[[#This Row],[ClickTick]]&amp;2, TabConsolid[#Headers])),
    -1
  )
)</f>
        <v>#N/A</v>
      </c>
      <c r="BQ47" s="679" cm="1">
        <f t="array" aca="1" ref="BQ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R47" s="1156" t="e">
        <f ca="1">Tab_NewTRADER[[#This Row],[ReBuy]]/(Tab_NewTRADER[[#This Row],[L_Sn]]+Tab_NewTRADER[[#This Row],[SellMore]])</f>
        <v>#N/A</v>
      </c>
      <c r="BS47" s="687">
        <f ca="1">((_xlfn.XLOOKUP(Tab_NewTRADER[[#This Row],[ClickTick]],TabCalc[Ticker],TabCalc[NAfter])+Tab_NewTRADER[[#This Row],[L_Sn]])*(Tab_NewTRADER[[#This Row],[Agiotage]]-Tab_NewTRADER[[#This Row],[M]]))/(Tab_NewTRADER[[#This Row],[L_Sn]]*_xlfn.XLOOKUP(Tab_NewTRADER[[#This Row],[ClickTick]],TabCalc[Ticker],TabCalc[NAfter]))</f>
        <v>-9.0892384553065086E-2</v>
      </c>
      <c r="BT47" s="687">
        <f ca="1">(Tab_NewTRADER[[#This Row],[M]]-Tab_NewTRADER[[#This Row],[Agiotage]])/(Tab_NewTRADER[[#This Row],[M]]-Tab_NewTRADER[[#This Row],[A]])-1</f>
        <v>-3.1748146163733733</v>
      </c>
      <c r="BU47" s="1277">
        <f ca="1">_xlfn.XMATCH(Tab_NewTRADER[[#This Row],[ClickTick]]&amp;1, TabConsolid[#Headers])</f>
        <v>134</v>
      </c>
      <c r="BV47" t="str">
        <f ca="1">IF(ABS(Tab_NewTRADER[[#This Row],[L_Bp]])&gt;=Tab_NewTRADER[[#This Row],[M]],"OK")</f>
        <v>OK</v>
      </c>
    </row>
    <row r="48" spans="1:74"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-19,788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-41.7%</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1.1305742574257425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34367.775000000001</v>
      </c>
      <c r="M48" s="323">
        <f ca="1">_xlfn.XLOOKUP(Tab_NewTRADER[[#This Row],[ClickTick]],TabCalc[Ticker],TabCalc[Agiotage])</f>
        <v>0.91417887555869204</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-0.29408602150537638</v>
      </c>
      <c r="S48" s="683">
        <f ca="1">_xlfn.XLOOKUP(Tab_NewTRADER[[#This Row],[ClickTick]],TabCalc[Ticker],TabCalc[Rev(MinStock)])*(1-Commission)</f>
        <v>-19736.276915000002</v>
      </c>
      <c r="T48" s="782">
        <f ca="1">_xlfn.XLOOKUP(Tab_NewTRADER[[#This Row],[ClickTick]],TabCalc[Ticker],TabCalc[Agiotage])</f>
        <v>0.91417887555869204</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2,351/2,351=&gt;4.9% / 4.9%</v>
      </c>
      <c r="V48" s="739" t="str">
        <f ca="1">_xlfn.XLOOKUP(Tab_NewTRADER[[#This Row],[ClickTick]],[1]!RTData[Ticker_Symbol],[1]!RTData[Currency])</f>
        <v>USD</v>
      </c>
      <c r="W48" s="749">
        <f ca="1">_xlfn.XLOOKUP(Tab_NewTRADER[[#This Row],[ClickTick]],TabCalc[Ticker],TabCalc[M])</f>
        <v>6.5650000000000004</v>
      </c>
      <c r="X48" s="1343"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-20/47 K$</v>
      </c>
      <c r="AE48" s="1195" t="str" cm="1">
        <f t="array" aca="1" ref="AE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8" s="1176" t="str" cm="1">
        <f t="array" aca="1" ref="AF48" ca="1">_xlfn.IFS(       Tab_NewTRADER[[#This Row],[Trap_vs_Last]]=RePurchaseGain,TEXT(Tab_NewTRADER[[#This Row],[L_Sn]],"#,#0")&amp;" x "&amp;TEXT(Tab_NewTRADER[[#This Row],[L_Sp]],"#,#0.#0"),     Tab_NewTRADER[[#This Row],[Trap_vs_Last]]=ReSaleGain,Tab_NewTRADER[[#This Row],[ToSell]],               TRUE,"")</f>
        <v/>
      </c>
      <c r="AG48" s="1177" t="str" cm="1">
        <f t="array" aca="1" ref="AG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H48" s="1370" t="str">
        <f ca="1">TEXT(MIN(Tab_NewTRADER[[#This Row],[L_Bn]],Tab_NewTRADER[[#This Row],[N]]),"#,#0")&amp;" x "&amp;TEXT(Tab_NewTRADER[[#This Row],[L_Bp]],"#,#0.#0")</f>
        <v>7,235 x -9.30</v>
      </c>
      <c r="AI48" s="1370">
        <f ca="1">IF(Tab_NewTRADER[[#This Row],[M]]&lt;_xlfn.XLOOKUP(Tab_NewTRADER[[#This Row],[ClickTick]],TabCalc[Ticker],TabCalc[Max_Buy_P]), 0,Tab_NewTRADER[[#This Row],[Sale_Back_$]])</f>
        <v>0</v>
      </c>
      <c r="AJ48" s="1370" t="str">
        <f ca="1">TEXT(Tab_NewTRADER[[#This Row],[L_Sn]],"#,#0")&amp;" ("&amp;Tab_NewTRADER[[#This Row],[M]]&amp;"/"&amp;TEXT(Tab_NewTRADER[[#This Row],[L_Sp]],"#,#0.#0)")</f>
        <v>0 (6.565/0.0)</v>
      </c>
      <c r="AK48" s="1370">
        <f ca="1">IF(Tab_NewTRADER[[#This Row],[M]]&lt;_xlfn.XLOOKUP(Tab_NewTRADER[[#This Row],[ClickTick]],TabCalc[Ticker],TabCalc[Max_Buy_P]), -Tab_NewTRADER[[#This Row],[Buy_Back]], 0)</f>
        <v>0</v>
      </c>
      <c r="AL48" s="1177" cm="1">
        <f t="array" aca="1" ref="AL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19736.276915000002</v>
      </c>
      <c r="AM48" s="1177">
        <f ca="1">Tab_NewTRADER[[#This Row],[N]]*(Tab_NewTRADER[[#This Row],[M]]-Tab_NewTRADER[[#This Row],[A]])*(1-Commission)*Tab_NewTRADER[[#This Row],[Scale]]</f>
        <v>-19736.276915000002</v>
      </c>
      <c r="AN48" s="1177">
        <f ca="1">Tab_NewTRADER[[#This Row],[M]]*Tab_NewTRADER[[#This Row],[N]]*(1-Commission)*Tab_NewTRADER[[#This Row],[Scale]]</f>
        <v>47374.280785000003</v>
      </c>
      <c r="AO48" s="1186" cm="1">
        <f t="array" aca="1" ref="AO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0.29408602150537638</v>
      </c>
      <c r="AP48" s="1186" cm="1">
        <f t="array" aca="1" ref="AP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0.41400319878141661</v>
      </c>
      <c r="AQ48" s="825" t="str" cm="1">
        <f t="array" aca="1" ref="AQ48" ca="1">_xlfn.IFS(   Tab_NewTRADER[[#This Row],[Trap_vs_Last]]=SellMorePercentGain,                     MIN(Tab_NewTRADER[[#This Row],[L_Sn]],Tab_NewTRADER[[#This Row],[N]])*(Tab_NewTRADER[[#This Row],[M]]-Tab_NewTRADER[[#This Row],[L_Sp]])*(1-Commission)*Tab_NewTRADER[[#This Row],[Scale]],                    TRUE,"")</f>
        <v/>
      </c>
      <c r="AR48" s="1175">
        <f ca="1">_xlfn.XLOOKUP(Tab_NewTRADER[[#This Row],[ClickTick]],TabCalc[Ticker],TabCalc[Ann%RevLB])</f>
        <v>-1.1262868908716541</v>
      </c>
      <c r="AS48" s="1282">
        <f ca="1">_xlfn.XLOOKUP(Tab_NewTRADER[[#This Row],[ClickTick]],TabCalc[Ticker],TabCalc[Up20])</f>
        <v>0</v>
      </c>
      <c r="AT48" s="310" cm="1">
        <f t="array" aca="1" ref="AT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0.41660319878141661</v>
      </c>
      <c r="AU48" s="825" cm="1">
        <f t="array" aca="1" ref="AU48" ca="1">_xlfn.IFS(         Tab_NewTRADER[[#This Row],[Trap_vs_Last]]=MDown,Tab_NewTRADER[[#This Row],[L_Bn]]*Tab_NewTRADER[[#This Row],[M]]*(-(Tab_NewTRADER[[#This Row],[L_Bp]]+Tab_NewTRADER[[#This Row],[M]])/Tab_NewTRADER[[#This Row],[M]])*(1-Commission)*Tab_NewTRADER[[#This Row],[Scale]],                               TRUE,"")</f>
        <v>19736.276915000002</v>
      </c>
      <c r="AV48" s="1186" cm="1">
        <f t="array" aca="1" ref="AV48" ca="1">_xlfn.IFS(   Tab_NewTRADER[[#This Row],[Trap_vs_Last]]=MUp,Tab_NewTRADER[[#This Row],[TakeGain_A]]-Commission,        Tab_NewTRADER[[#This Row],[Trap_vs_Last]]=MDown,(Tab_NewTRADER[[#This Row],[A]]-Tab_NewTRADER[[#This Row],[M]])/Tab_NewTRADER[[#This Row],[M]]-Commission,                              TRUE,"")</f>
        <v>0.41400319878141661</v>
      </c>
      <c r="AW48" s="825" cm="1">
        <f t="array" aca="1" ref="AW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19736.276915000002</v>
      </c>
      <c r="AX48" s="760" t="e" cm="1">
        <f t="array" aca="1" ref="AX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Y48" s="736" cm="1">
        <f t="array" aca="1" ref="AY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-2.73</v>
      </c>
      <c r="AZ48" s="765" cm="1">
        <f t="array" aca="1" ref="AZ48" ca="1">_xlfn.IFS(Tab_NewTRADER[[#This Row],[Trap_vs_Last]]=ReSaleGain,"",         Tab_NewTRADER[[#This Row],[Trap_vs_Last]]=MDown, (Tab_NewTRADER[[#This Row],[M]]-Tab_NewTRADER[[#This Row],[A]])/Tab_NewTRADER[[#This Row],[A]]*ComFactor,             TRUE, IFERROR((Tab_NewTRADER[[#This Row],[M]]-Tab_NewTRADER[[#This Row],[A]])/Tab_NewTRADER[[#This Row],[A]]*ComFactor,""))</f>
        <v>-0.29332139784946237</v>
      </c>
      <c r="BA48" s="762" cm="1">
        <f t="array" aca="1" ref="BA48" ca="1">_xlfn.IFS(               Tab_NewTRADER[[#This Row],[Trap_vs_Last]]=NoStock,(Tab_NewTRADER[[#This Row],[L_Sp]]-Tab_NewTRADER[[#This Row],[M]])/Tab_NewTRADER[[#This Row],[M]]-Commission,             Tab_NewTRADER[[#This Row],[A]]&lt;&gt;0,(Tab_NewTRADER[[#This Row],[A]]-Tab_NewTRADER[[#This Row],[M]])/Tab_NewTRADER[[#This Row],[M]]-Commission)</f>
        <v>0.41400319878141661</v>
      </c>
      <c r="BB48" s="324">
        <f ca="1">_xlfn.XLOOKUP(Tab_NewTRADER[[#This Row],[ClickTick]],TabCalc[Ticker],TabCalc[L_Sn])</f>
        <v>0</v>
      </c>
      <c r="BC48" s="728">
        <f ca="1">_xlfn.XLOOKUP(Tab_NewTRADER[[#This Row],[ClickTick]],TabCalc[Ticker],TabCalc[L_Sp])</f>
        <v>0</v>
      </c>
      <c r="BD48" s="764">
        <f ca="1">-IFERROR((Tab_NewTRADER[[#This Row],[M]]-Tab_NewTRADER[[#This Row],[L_Sp]])/Tab_NewTRADER[[#This Row],[L_Sp]],0)</f>
        <v>0</v>
      </c>
      <c r="BE48" s="729">
        <f ca="1">MIN(Tab_NewTRADER[[#This Row],[L_Sn]],Tab_NewTRADER[[#This Row],[N]])*(Tab_NewTRADER[[#This Row],[M]]-Tab_NewTRADER[[#This Row],[L_Sp]])*(1-Commission)*Tab_NewTRADER[[#This Row],[Scale]]</f>
        <v>0</v>
      </c>
      <c r="BF48" s="692">
        <f ca="1">Tab_NewTRADER[[#This Row],[L_Sn]]*(Tab_NewTRADER[[#This Row],[Agiotage]]-Tab_NewTRADER[[#This Row],[M]])/(Tab_NewTRADER[[#This Row],[L_Bn]]*Tab_NewTRADER[[#This Row],[M]])</f>
        <v>0</v>
      </c>
      <c r="BG48" s="635">
        <f ca="1">IFERROR((Tab_NewTRADER[[#This Row],[M]]-Tab_NewTRADER[[#This Row],[A]])/Tab_NewTRADER[[#This Row],[A]],0)</f>
        <v>-0.29408602150537638</v>
      </c>
      <c r="BH48" s="638" t="str">
        <f ca="1">TEXT(_xlfn.XLOOKUP(Tab_NewTRADER[[#This Row],[ClickTick]],TabCalc[Ticker],TabCalc[NAfter]),"#,#0")&amp;" : "&amp;TEXT(_xlfn.XLOOKUP(Tab_NewTRADER[[#This Row],[ClickTick]],TabCalc[Ticker],TabCalc[NAfter])*(Tab_NewTRADER[[#This Row],[M]]-Tab_NewTRADER[[#This Row],[A]])*(1-Commission)*Tab_NewTRADER[[#This Row],[Scale]],"#,#0$")</f>
        <v>7,235 : -19,736$</v>
      </c>
      <c r="BI48" s="684">
        <f ca="1">_xlfn.XLOOKUP(Tab_NewTRADER[[#This Row],[ClickTick]],TabCalc[[#This Row],[Ticker]],TabCalc[[#This Row],[GL]])*(1-Commission)</f>
        <v>-19736.276914999999</v>
      </c>
      <c r="BJ48" s="684"/>
      <c r="BK48" s="669" t="str">
        <f ca="1">Tab_NewTRADER[[#This Row],[ClickTick]]&amp;": "&amp;_xlfn.XLOOKUP(Tab_NewTRADER[[#This Row],[ClickTick]],TabCalc[Ticker],TabCalc[Pile?])</f>
        <v xml:space="preserve">UNIT: </v>
      </c>
      <c r="BL48" s="351" t="s">
        <v>1921</v>
      </c>
      <c r="BM48" s="755" t="str" cm="1">
        <f t="array" aca="1" ref="BM48" ca="1">_xlfn.TEXTJOIN("",,INDEX({"M","A","Y"}, _xlfn.SORTBY({1,2,3}, -CHOOSE({1,2,3}, Tab_NewTRADER[[#This Row],[M]], Tab_NewTRADER[[#This Row],[A]], Tab_NewTRADER[[#This Row],[Agiotage]]))))</f>
        <v>AMY</v>
      </c>
      <c r="BN48" s="909" cm="1">
        <f t="array" aca="1" ref="BN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0.41660319878141661</v>
      </c>
      <c r="BO48" s="679" t="e">
        <f ca="1">Tab_NewTRADER[[#This Row],[L_Sn]]*Tab_NewTRADER[[#This Row],[L_Sp]]+Tab_NewTRADER[[#This Row],[SellMore]]*Tab_NewTRADER[[#This Row],[M]]</f>
        <v>#N/A</v>
      </c>
      <c r="BP48" s="679" t="e">
        <f ca="1">INDEX(
  INDEX(TabConsolid[], , _xlfn.XMATCH(Tab_NewTRADER[[#This Row],[ClickTick]]&amp;1, TabConsolid[#Headers])),
  MATCH(
    -Tab_NewTRADER[[#This Row],[M]],
    INDEX(TabConsolid[], , _xlfn.XMATCH(Tab_NewTRADER[[#This Row],[ClickTick]]&amp;2, TabConsolid[#Headers])),
    -1
  )
)</f>
        <v>#N/A</v>
      </c>
      <c r="BQ48" s="679" cm="1">
        <f t="array" aca="1" ref="BQ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8" s="1156" t="e">
        <f ca="1">Tab_NewTRADER[[#This Row],[ReBuy]]/(Tab_NewTRADER[[#This Row],[L_Sn]]+Tab_NewTRADER[[#This Row],[SellMore]])</f>
        <v>#N/A</v>
      </c>
      <c r="BS48" s="687" t="e">
        <f ca="1">((_xlfn.XLOOKUP(Tab_NewTRADER[[#This Row],[ClickTick]],TabCalc[Ticker],TabCalc[NAfter])+Tab_NewTRADER[[#This Row],[L_Sn]])*(Tab_NewTRADER[[#This Row],[Agiotage]]-Tab_NewTRADER[[#This Row],[M]]))/(Tab_NewTRADER[[#This Row],[L_Sn]]*_xlfn.XLOOKUP(Tab_NewTRADER[[#This Row],[ClickTick]],TabCalc[Ticker],TabCalc[NAfter]))</f>
        <v>#DIV/0!</v>
      </c>
      <c r="BT48" s="687">
        <f ca="1">(Tab_NewTRADER[[#This Row],[M]]-Tab_NewTRADER[[#This Row],[Agiotage]])/(Tab_NewTRADER[[#This Row],[M]]-Tab_NewTRADER[[#This Row],[A]])-1</f>
        <v>-3.0661137566513008</v>
      </c>
      <c r="BU48" s="1277">
        <f ca="1">_xlfn.XMATCH(Tab_NewTRADER[[#This Row],[ClickTick]]&amp;1, TabConsolid[#Headers])</f>
        <v>137</v>
      </c>
      <c r="BV48" t="str">
        <f ca="1">IF(ABS(Tab_NewTRADER[[#This Row],[L_Bp]])&gt;=Tab_NewTRADER[[#This Row],[M]],"OK")</f>
        <v>OK</v>
      </c>
    </row>
    <row r="49" spans="1:74"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-875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1,877</v>
      </c>
      <c r="F49" s="226" t="str">
        <f ca="1">TRUNC(TabCalc[[#This Row],[L_B1p]],2)&amp;"x"&amp;TabCalc[[#This Row],[L_B1n]]&amp;"=   "&amp;TEXT(TabCalc[[#This Row],[ReverseS1]],"#,#0")&amp;"$"</f>
        <v>-24.15x3000=   9,800$</v>
      </c>
      <c r="G49" s="225" t="str">
        <f ca="1">IFERROR(TRUNC(_xlfn.XLOOKUP(Tab_NewTRADER[[#This Row],[ClickTick]],TabCalc[Ticker],ListLastSalep),2)&amp;"x"&amp;_xlfn.XLOOKUP(Tab_NewTRADER[[#This Row],[ClickTick]],TabCalc[Ticker],ListLastSalen)&amp;"=   "&amp;TEXT(-_xlfn.XLOOKUP(Tab_NewTRADER[[#This Row],[ClickTick]],TabCalc[Ticker],ListReverseB),"#,#0")&amp;"$","")</f>
        <v>30.08x500=   -1,332$</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9.7% = 1,877</v>
      </c>
      <c r="I49" s="226" t="str">
        <f ca="1">IFERROR(TRUNC(TabCalc[[#This Row],[L_S1p]],2)&amp;"x"&amp;TabCalc[[#This Row],[L_S1n]]&amp;"=   "&amp;TEXT(TabCalc[[#This Row],[ReverseB1]],"#,#0"),"")</f>
        <v>25.39x3000=   -6,080</v>
      </c>
      <c r="J49" s="295">
        <f ca="1">_xlfn.XLOOKUP(Tab_NewTRADER[[#This Row],[ClickTick]],TabCalc[Ticker],ListGravity)</f>
        <v>1.2401291193259534</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2.7336551328617856E-2</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-2.0839285714285744E-2</v>
      </c>
      <c r="S49" s="683">
        <f ca="1">_xlfn.XLOOKUP(Tab_NewTRADER[[#This Row],[ClickTick]],TabCalc[Ticker],TabCalc[Rev(MinStock)])*(1-Commission)</f>
        <v>-872.9743500000011</v>
      </c>
      <c r="T49" s="782">
        <f ca="1">_xlfn.XLOOKUP(Tab_NewTRADER[[#This Row],[ClickTick]],TabCalc[Ticker],TabCalc[Agiotage])</f>
        <v>2.7336551328617856E-2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1,130/1,130=&gt;0.5% / 0.5%</v>
      </c>
      <c r="V49" s="739" t="str">
        <f ca="1">_xlfn.XLOOKUP(Tab_NewTRADER[[#This Row],[ClickTick]],[1]!RTData[Ticker_Symbol],[1]!RTData[Currency])</f>
        <v>USD</v>
      </c>
      <c r="W49" s="1068">
        <f ca="1">_xlfn.XLOOKUP(Tab_NewTRADER[[#This Row],[ClickTick]],TabCalc[Ticker],TabCalc[M])</f>
        <v>27.416499999999999</v>
      </c>
      <c r="X49" s="1343"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^94 / 82 K$</v>
      </c>
      <c r="AE49" s="1173" t="str" cm="1">
        <f t="array" aca="1" ref="AE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9" s="1176" t="str" cm="1">
        <f t="array" aca="1" ref="AF49" ca="1">_xlfn.IFS(       Tab_NewTRADER[[#This Row],[Trap_vs_Last]]=RePurchaseGain,TEXT(Tab_NewTRADER[[#This Row],[L_Sn]],"#,#0")&amp;" x "&amp;TEXT(Tab_NewTRADER[[#This Row],[L_Sp]],"#,#0.#0"),     Tab_NewTRADER[[#This Row],[Trap_vs_Last]]=ReSaleGain,Tab_NewTRADER[[#This Row],[ToSell]],               TRUE,"")</f>
        <v/>
      </c>
      <c r="AG49" s="1177" t="str" cm="1">
        <f t="array" aca="1" ref="AG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-28.0</v>
      </c>
      <c r="AH49" s="1370" t="str">
        <f ca="1">TEXT(MIN(Tab_NewTRADER[[#This Row],[L_Bn]],Tab_NewTRADER[[#This Row],[N]]),"#,#0")&amp;" x "&amp;TEXT(Tab_NewTRADER[[#This Row],[L_Bp]],"#,#0.#0")</f>
        <v>1,500 x -28.0</v>
      </c>
      <c r="AI49" s="1370">
        <f ca="1">IF(Tab_NewTRADER[[#This Row],[M]]&lt;_xlfn.XLOOKUP(Tab_NewTRADER[[#This Row],[ClickTick]],TabCalc[Ticker],TabCalc[Max_Buy_P]), 0,Tab_NewTRADER[[#This Row],[Sale_Back_$]])</f>
        <v>0</v>
      </c>
      <c r="AJ49" s="1370" t="str">
        <f ca="1">TEXT(Tab_NewTRADER[[#This Row],[L_Sn]],"#,#0")&amp;" ("&amp;Tab_NewTRADER[[#This Row],[M]]&amp;"/"&amp;TEXT(Tab_NewTRADER[[#This Row],[L_Sp]],"#,#0.#0)")</f>
        <v>500 (27.4165/30.08)</v>
      </c>
      <c r="AK49" s="1370">
        <f ca="1">IF(Tab_NewTRADER[[#This Row],[M]]&lt;_xlfn.XLOOKUP(Tab_NewTRADER[[#This Row],[ClickTick]],TabCalc[Ticker],TabCalc[Max_Buy_P]), -Tab_NewTRADER[[#This Row],[Buy_Back]], 0)</f>
        <v>1328.2874499999996</v>
      </c>
      <c r="AL49" s="1177" cm="1">
        <f t="array" aca="1" ref="AL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872.9743500000011</v>
      </c>
      <c r="AM49" s="1177">
        <f ca="1">Tab_NewTRADER[[#This Row],[N]]*(Tab_NewTRADER[[#This Row],[M]]-Tab_NewTRADER[[#This Row],[A]])*(1-Commission)*Tab_NewTRADER[[#This Row],[Scale]]</f>
        <v>4014.0362999999993</v>
      </c>
      <c r="AN49" s="1177">
        <f ca="1">Tab_NewTRADER[[#This Row],[M]]*Tab_NewTRADER[[#This Row],[N]]*(1-Commission)*Tab_NewTRADER[[#This Row],[Scale]]</f>
        <v>82035.651299999998</v>
      </c>
      <c r="AO49" s="1186" cm="1">
        <f t="array" aca="1" ref="AO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-5.1447746883988496E-2</v>
      </c>
      <c r="AP49" s="1186" cm="1">
        <f t="array" aca="1" ref="AP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1.8682804150785139E-2</v>
      </c>
      <c r="AQ49" s="825" t="str" cm="1">
        <f t="array" aca="1" ref="AQ49" ca="1">_xlfn.IFS(   Tab_NewTRADER[[#This Row],[Trap_vs_Last]]=SellMorePercentGain,                     MIN(Tab_NewTRADER[[#This Row],[L_Sn]],Tab_NewTRADER[[#This Row],[N]])*(Tab_NewTRADER[[#This Row],[M]]-Tab_NewTRADER[[#This Row],[L_Sp]])*(1-Commission)*Tab_NewTRADER[[#This Row],[Scale]],                    TRUE,"")</f>
        <v/>
      </c>
      <c r="AR49" s="1192">
        <f ca="1">_xlfn.XLOOKUP(Tab_NewTRADER[[#This Row],[ClickTick]],TabCalc[Ticker],TabCalc[Ann%RevLB])</f>
        <v>-0.83357142857142974</v>
      </c>
      <c r="AS49" s="1192">
        <f ca="1">_xlfn.XLOOKUP(Tab_NewTRADER[[#This Row],[ClickTick]],TabCalc[Ticker],TabCalc[Up20])</f>
        <v>0</v>
      </c>
      <c r="AT49" s="1258" cm="1">
        <f t="array" aca="1" ref="AT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2.128280415078514E-2</v>
      </c>
      <c r="AU49" s="825" cm="1">
        <f t="array" aca="1" ref="AU49" ca="1">_xlfn.IFS(         Tab_NewTRADER[[#This Row],[Trap_vs_Last]]=MDown,Tab_NewTRADER[[#This Row],[L_Bn]]*Tab_NewTRADER[[#This Row],[M]]*(-(Tab_NewTRADER[[#This Row],[L_Bp]]+Tab_NewTRADER[[#This Row],[M]])/Tab_NewTRADER[[#This Row],[M]])*(1-Commission)*Tab_NewTRADER[[#This Row],[Scale]],                               TRUE,"")</f>
        <v>872.97435000000121</v>
      </c>
      <c r="AV49" s="1186" cm="1">
        <f t="array" aca="1" ref="AV49" ca="1">_xlfn.IFS(   Tab_NewTRADER[[#This Row],[Trap_vs_Last]]=MUp,Tab_NewTRADER[[#This Row],[TakeGain_A]]-Commission,        Tab_NewTRADER[[#This Row],[Trap_vs_Last]]=MDown,(Tab_NewTRADER[[#This Row],[A]]-Tab_NewTRADER[[#This Row],[M]])/Tab_NewTRADER[[#This Row],[M]]-Commission,                              TRUE,"")</f>
        <v>-5.1530388634581363E-2</v>
      </c>
      <c r="AW49" s="825" cm="1">
        <f t="array" aca="1" ref="AW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-4014.0362999999993</v>
      </c>
      <c r="AX49" s="760" t="str" cm="1">
        <f t="array" aca="1" ref="AX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49" s="736" cm="1">
        <f t="array" aca="1" ref="AY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-0.57999999999999996</v>
      </c>
      <c r="AZ49" s="765" cm="1">
        <f t="array" aca="1" ref="AZ49" ca="1">_xlfn.IFS(Tab_NewTRADER[[#This Row],[Trap_vs_Last]]=ReSaleGain,"",         Tab_NewTRADER[[#This Row],[Trap_vs_Last]]=MDown, (Tab_NewTRADER[[#This Row],[M]]-Tab_NewTRADER[[#This Row],[A]])/Tab_NewTRADER[[#This Row],[A]]*ComFactor,             TRUE, IFERROR((Tab_NewTRADER[[#This Row],[M]]-Tab_NewTRADER[[#This Row],[A]])/Tab_NewTRADER[[#This Row],[A]]*ComFactor,""))</f>
        <v>5.1313982742090126E-2</v>
      </c>
      <c r="BA49" s="762" cm="1">
        <f t="array" aca="1" ref="BA49" ca="1">_xlfn.IFS(               Tab_NewTRADER[[#This Row],[Trap_vs_Last]]=NoStock,(Tab_NewTRADER[[#This Row],[L_Sp]]-Tab_NewTRADER[[#This Row],[M]])/Tab_NewTRADER[[#This Row],[M]]-Commission,             Tab_NewTRADER[[#This Row],[A]]&lt;&gt;0,(Tab_NewTRADER[[#This Row],[A]]-Tab_NewTRADER[[#This Row],[M]])/Tab_NewTRADER[[#This Row],[M]]-Commission)</f>
        <v>-5.1530388634581363E-2</v>
      </c>
      <c r="BB49" s="324">
        <f ca="1">_xlfn.XLOOKUP(Tab_NewTRADER[[#This Row],[ClickTick]],TabCalc[Ticker],TabCalc[L_Sn])</f>
        <v>500</v>
      </c>
      <c r="BC49" s="728">
        <f ca="1">_xlfn.XLOOKUP(Tab_NewTRADER[[#This Row],[ClickTick]],TabCalc[Ticker],TabCalc[L_Sp])</f>
        <v>30.08</v>
      </c>
      <c r="BD49" s="764">
        <f ca="1">-IFERROR((Tab_NewTRADER[[#This Row],[M]]-Tab_NewTRADER[[#This Row],[L_Sp]])/Tab_NewTRADER[[#This Row],[L_Sp]],0)</f>
        <v>8.8547207446808482E-2</v>
      </c>
      <c r="BE49" s="729">
        <f ca="1">MIN(Tab_NewTRADER[[#This Row],[L_Sn]],Tab_NewTRADER[[#This Row],[N]])*(Tab_NewTRADER[[#This Row],[M]]-Tab_NewTRADER[[#This Row],[L_Sp]])*(1-Commission)*Tab_NewTRADER[[#This Row],[Scale]]</f>
        <v>-1328.2874499999996</v>
      </c>
      <c r="BF49" s="692">
        <f ca="1">Tab_NewTRADER[[#This Row],[L_Sn]]*(Tab_NewTRADER[[#This Row],[Agiotage]]-Tab_NewTRADER[[#This Row],[M]])/(Tab_NewTRADER[[#This Row],[L_Bn]]*Tab_NewTRADER[[#This Row],[M]])</f>
        <v>-0.33300097202622969</v>
      </c>
      <c r="BG49" s="635">
        <f ca="1">IFERROR((Tab_NewTRADER[[#This Row],[M]]-Tab_NewTRADER[[#This Row],[A]])/Tab_NewTRADER[[#This Row],[A]],0)</f>
        <v>5.1447746883988496E-2</v>
      </c>
      <c r="BH49" s="638" t="str">
        <f ca="1">TEXT(_xlfn.XLOOKUP(Tab_NewTRADER[[#This Row],[ClickTick]],TabCalc[Ticker],TabCalc[NAfter]),"#,#0")&amp;" : "&amp;TEXT(_xlfn.XLOOKUP(Tab_NewTRADER[[#This Row],[ClickTick]],TabCalc[Ticker],TabCalc[NAfter])*(Tab_NewTRADER[[#This Row],[M]]-Tab_NewTRADER[[#This Row],[A]])*(1-Commission)*Tab_NewTRADER[[#This Row],[Scale]],"#,#0$")</f>
        <v>3,000 : 4,014$</v>
      </c>
      <c r="BI49" s="684">
        <f ca="1">_xlfn.XLOOKUP(Tab_NewTRADER[[#This Row],[ClickTick]],TabCalc[[#This Row],[Ticker]],TabCalc[[#This Row],[GL]])*(1-Commission)</f>
        <v>93901.090737999984</v>
      </c>
      <c r="BJ49" s="684"/>
      <c r="BK49" s="669" t="str">
        <f ca="1">Tab_NewTRADER[[#This Row],[ClickTick]]&amp;": "&amp;_xlfn.XLOOKUP(Tab_NewTRADER[[#This Row],[ClickTick]],TabCalc[Ticker],TabCalc[Pile?])</f>
        <v xml:space="preserve">VLVLY: </v>
      </c>
      <c r="BL49" s="351" t="s">
        <v>1922</v>
      </c>
      <c r="BM49" s="755" t="str" cm="1">
        <f t="array" aca="1" ref="BM49" ca="1">_xlfn.TEXTJOIN("",,INDEX({"M","A","Y"}, _xlfn.SORTBY({1,2,3}, -CHOOSE({1,2,3}, Tab_NewTRADER[[#This Row],[M]], Tab_NewTRADER[[#This Row],[A]], Tab_NewTRADER[[#This Row],[Agiotage]]))))</f>
        <v>MAY</v>
      </c>
      <c r="BN49" s="909" cm="1">
        <f t="array" aca="1" ref="BN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2.128280415078514E-2</v>
      </c>
      <c r="BO49" s="679">
        <f ca="1">Tab_NewTRADER[[#This Row],[L_Sn]]*Tab_NewTRADER[[#This Row],[L_Sp]]+Tab_NewTRADER[[#This Row],[SellMore]]*Tab_NewTRADER[[#This Row],[M]]</f>
        <v>56164.75</v>
      </c>
      <c r="BP49" s="679">
        <f ca="1">INDEX(
  INDEX(TabConsolid[], , _xlfn.XMATCH(Tab_NewTRADER[[#This Row],[ClickTick]]&amp;1, TabConsolid[#Headers])),
  MATCH(
    -Tab_NewTRADER[[#This Row],[M]],
    INDEX(TabConsolid[], , _xlfn.XMATCH(Tab_NewTRADER[[#This Row],[ClickTick]]&amp;2, TabConsolid[#Headers])),
    -1
  )
)</f>
        <v>1500</v>
      </c>
      <c r="BQ49" s="679" cm="1">
        <f t="array" aca="1" ref="BQ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49" s="1156">
        <f ca="1">Tab_NewTRADER[[#This Row],[ReBuy]]/(Tab_NewTRADER[[#This Row],[L_Sn]]+Tab_NewTRADER[[#This Row],[SellMore]])</f>
        <v>28.082374999999999</v>
      </c>
      <c r="BS49" s="687">
        <f ca="1">((_xlfn.XLOOKUP(Tab_NewTRADER[[#This Row],[ClickTick]],TabCalc[Ticker],TabCalc[NAfter])+Tab_NewTRADER[[#This Row],[L_Sn]])*(Tab_NewTRADER[[#This Row],[Agiotage]]-Tab_NewTRADER[[#This Row],[M]]))/(Tab_NewTRADER[[#This Row],[L_Sn]]*_xlfn.XLOOKUP(Tab_NewTRADER[[#This Row],[ClickTick]],TabCalc[Ticker],TabCalc[NAfter]))</f>
        <v>-6.3908048046899896E-2</v>
      </c>
      <c r="BT49" s="687">
        <f ca="1">(Tab_NewTRADER[[#This Row],[M]]-Tab_NewTRADER[[#This Row],[Agiotage]])/(Tab_NewTRADER[[#This Row],[M]]-Tab_NewTRADER[[#This Row],[A]])-1</f>
        <v>19.416819566657761</v>
      </c>
      <c r="BU49" s="1277">
        <f ca="1">_xlfn.XMATCH(Tab_NewTRADER[[#This Row],[ClickTick]]&amp;1, TabConsolid[#Headers])</f>
        <v>143</v>
      </c>
      <c r="BV49" t="str">
        <f ca="1">IF(ABS(Tab_NewTRADER[[#This Row],[L_Bp]])&gt;=Tab_NewTRADER[[#This Row],[M]],"OK")</f>
        <v>OK</v>
      </c>
    </row>
    <row r="50" spans="1:74"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-300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-0.3%</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-58.8x2000=   -1,000$</v>
      </c>
      <c r="G50" s="225" t="str">
        <f ca="1">IFERROR(TRUNC(_xlfn.XLOOKUP(Tab_NewTRADER[[#This Row],[ClickTick]],TabCalc[Ticker],ListLastSalep),2)&amp;"x"&amp;_xlfn.XLOOKUP(Tab_NewTRADER[[#This Row],[ClickTick]],TabCalc[Ticker],ListLastSalen)&amp;"=   "&amp;TEXT(-_xlfn.XLOOKUP(Tab_NewTRADER[[#This Row],[ClickTick]],TabCalc[Ticker],ListReverseB),"#,#0")&amp;"$","")</f>
        <v>61.2x21=   -61$</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 = 1,724</v>
      </c>
      <c r="I50" s="226" t="str">
        <f ca="1">IFERROR(TRUNC(TabCalc[[#This Row],[L_S1p]],2)&amp;"x"&amp;TabCalc[[#This Row],[L_S1n]]&amp;"=   "&amp;TEXT(TabCalc[[#This Row],[ReverseB1]],"#,#0"),"")</f>
        <v>61.2x21=   61</v>
      </c>
      <c r="J50" s="295">
        <f ca="1">_xlfn.XLOOKUP(Tab_NewTRADER[[#This Row],[ClickTick]],TabCalc[Ticker],ListGravity)</f>
        <v>1.0548885077186965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0.76176321138211378</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-2.5662959794697294E-3</v>
      </c>
      <c r="S50" s="683">
        <f ca="1">_xlfn.XLOOKUP(Tab_NewTRADER[[#This Row],[ClickTick]],TabCalc[Ticker],TabCalc[Rev(MinStock)])*(1-Commission)</f>
        <v>-299.22000000001134</v>
      </c>
      <c r="T50" s="782">
        <f ca="1">_xlfn.XLOOKUP(Tab_NewTRADER[[#This Row],[ClickTick]],TabCalc[Ticker],TabCalc[Agiotage])</f>
        <v>0.76176321138211378</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-2,000/-2,000=&gt;0.2% / 0.2%</v>
      </c>
      <c r="V50" s="739" t="str">
        <f ca="1">_xlfn.XLOOKUP(Tab_NewTRADER[[#This Row],[ClickTick]],[1]!RTData[Ticker_Symbol],[1]!RTData[Currency])</f>
        <v>CHF</v>
      </c>
      <c r="W50" s="749">
        <f ca="1">_xlfn.XLOOKUP(Tab_NewTRADER[[#This Row],[ClickTick]],TabCalc[Ticker],TabCalc[M])</f>
        <v>58.3</v>
      </c>
      <c r="X50" s="1343"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1.7180000000000001E-3</v>
      </c>
      <c r="AC50" s="768">
        <f ca="1">_xlfn.XLOOKUP(Tab_NewTRADER[[#This Row],[ClickTick]],TabCalc[Ticker],TabCalc[NAfter])</f>
        <v>20000</v>
      </c>
      <c r="AD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^121 / 1,166 K$</v>
      </c>
      <c r="AE50" s="1173" t="str" cm="1">
        <f t="array" aca="1" ref="AE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0" s="1176" t="str" cm="1">
        <f t="array" aca="1" ref="AF50" ca="1">_xlfn.IFS(       Tab_NewTRADER[[#This Row],[Trap_vs_Last]]=RePurchaseGain,TEXT(Tab_NewTRADER[[#This Row],[L_Sn]],"#,#0")&amp;" x "&amp;TEXT(Tab_NewTRADER[[#This Row],[L_Sp]],"#,#0.#0"),     Tab_NewTRADER[[#This Row],[Trap_vs_Last]]=ReSaleGain,Tab_NewTRADER[[#This Row],[ToSell]],               TRUE,"")</f>
        <v/>
      </c>
      <c r="AG50" s="1177" t="str" cm="1">
        <f t="array" aca="1" ref="AG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-58.45</v>
      </c>
      <c r="AH50" s="1370" t="str">
        <f ca="1">TEXT(MIN(Tab_NewTRADER[[#This Row],[L_Bn]],Tab_NewTRADER[[#This Row],[N]]),"#,#0")&amp;" x "&amp;TEXT(Tab_NewTRADER[[#This Row],[L_Bp]],"#,#0.#0")</f>
        <v>2,000 x -58.45</v>
      </c>
      <c r="AI50" s="1370">
        <f ca="1">IF(Tab_NewTRADER[[#This Row],[M]]&lt;_xlfn.XLOOKUP(Tab_NewTRADER[[#This Row],[ClickTick]],TabCalc[Ticker],TabCalc[Max_Buy_P]), 0,Tab_NewTRADER[[#This Row],[Sale_Back_$]])</f>
        <v>0</v>
      </c>
      <c r="AJ50" s="1370" t="str">
        <f ca="1">TEXT(Tab_NewTRADER[[#This Row],[L_Sn]],"#,#0")&amp;" ("&amp;Tab_NewTRADER[[#This Row],[M]]&amp;"/"&amp;TEXT(Tab_NewTRADER[[#This Row],[L_Sp]],"#,#0.#0)")</f>
        <v>21 (58.3/61.20)</v>
      </c>
      <c r="AK50" s="1370">
        <f ca="1">IF(Tab_NewTRADER[[#This Row],[M]]&lt;_xlfn.XLOOKUP(Tab_NewTRADER[[#This Row],[ClickTick]],TabCalc[Ticker],TabCalc[Max_Buy_P]), -Tab_NewTRADER[[#This Row],[Buy_Back]], 0)</f>
        <v>60.741660000000117</v>
      </c>
      <c r="AL50" s="1177" cm="1">
        <f t="array" aca="1" ref="AL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299.22000000001134</v>
      </c>
      <c r="AM50" s="1177">
        <f ca="1">Tab_NewTRADER[[#This Row],[N]]*(Tab_NewTRADER[[#This Row],[M]]-Tab_NewTRADER[[#This Row],[A]])*(1-Commission)*Tab_NewTRADER[[#This Row],[Scale]]</f>
        <v>-24258.984444444442</v>
      </c>
      <c r="AN50" s="1177">
        <f ca="1">Tab_NewTRADER[[#This Row],[M]]*Tab_NewTRADER[[#This Row],[N]]*(1-Commission)*Tab_NewTRADER[[#This Row],[Scale]]</f>
        <v>1162968.3999999999</v>
      </c>
      <c r="AO50" s="1186" cm="1">
        <f t="array" aca="1" ref="AO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2.0433309374679128E-2</v>
      </c>
      <c r="AP50" s="1186" cm="1">
        <f t="array" aca="1" ref="AP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-2.7101200686008471E-5</v>
      </c>
      <c r="AQ50" s="825" t="str" cm="1">
        <f t="array" aca="1" ref="AQ50" ca="1">_xlfn.IFS(   Tab_NewTRADER[[#This Row],[Trap_vs_Last]]=SellMorePercentGain,                     MIN(Tab_NewTRADER[[#This Row],[L_Sn]],Tab_NewTRADER[[#This Row],[N]])*(Tab_NewTRADER[[#This Row],[M]]-Tab_NewTRADER[[#This Row],[L_Sp]])*(1-Commission)*Tab_NewTRADER[[#This Row],[Scale]],                    TRUE,"")</f>
        <v/>
      </c>
      <c r="AR50" s="1175" t="str">
        <f ca="1">_xlfn.XLOOKUP(Tab_NewTRADER[[#This Row],[ClickTick]],TabCalc[Ticker],TabCalc[Ann%RevLB])</f>
        <v/>
      </c>
      <c r="AS50" s="1282">
        <f ca="1">_xlfn.XLOOKUP(Tab_NewTRADER[[#This Row],[ClickTick]],TabCalc[Ticker],TabCalc[Up20])</f>
        <v>0</v>
      </c>
      <c r="AT50" s="310" cm="1">
        <f t="array" aca="1" ref="AT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2.5728987993139914E-3</v>
      </c>
      <c r="AU50" s="825" cm="1">
        <f t="array" aca="1" ref="AU50" ca="1">_xlfn.IFS(         Tab_NewTRADER[[#This Row],[Trap_vs_Last]]=MDown,Tab_NewTRADER[[#This Row],[L_Bn]]*Tab_NewTRADER[[#This Row],[M]]*(-(Tab_NewTRADER[[#This Row],[L_Bp]]+Tab_NewTRADER[[#This Row],[M]])/Tab_NewTRADER[[#This Row],[M]])*(1-Commission)*Tab_NewTRADER[[#This Row],[Scale]],                               TRUE,"")</f>
        <v>299.2200000000114</v>
      </c>
      <c r="AV50" s="1186" cm="1">
        <f t="array" aca="1" ref="AV50" ca="1">_xlfn.IFS(   Tab_NewTRADER[[#This Row],[Trap_vs_Last]]=MUp,Tab_NewTRADER[[#This Row],[TakeGain_A]]-Commission,        Tab_NewTRADER[[#This Row],[Trap_vs_Last]]=MDown,(Tab_NewTRADER[[#This Row],[A]]-Tab_NewTRADER[[#This Row],[M]])/Tab_NewTRADER[[#This Row],[M]]-Commission,                              TRUE,"")</f>
        <v>1.8259538784067088E-2</v>
      </c>
      <c r="AW50" s="760" cm="1">
        <f t="array" aca="1" ref="AW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24258.984444444442</v>
      </c>
      <c r="AX50" s="760" t="str" cm="1">
        <f t="array" aca="1" ref="AX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Y50" s="736" cm="1">
        <f t="array" aca="1" ref="AY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-0.15</v>
      </c>
      <c r="AZ50" s="765" cm="1">
        <f t="array" aca="1" ref="AZ50" ca="1">_xlfn.IFS(Tab_NewTRADER[[#This Row],[Trap_vs_Last]]=ReSaleGain,"",         Tab_NewTRADER[[#This Row],[Trap_vs_Last]]=MDown, (Tab_NewTRADER[[#This Row],[M]]-Tab_NewTRADER[[#This Row],[A]])/Tab_NewTRADER[[#This Row],[A]]*ComFactor,             TRUE, IFERROR((Tab_NewTRADER[[#This Row],[M]]-Tab_NewTRADER[[#This Row],[A]])/Tab_NewTRADER[[#This Row],[A]]*ComFactor,""))</f>
        <v>-2.0380182770304962E-2</v>
      </c>
      <c r="BA50" s="762" cm="1">
        <f t="array" aca="1" ref="BA50" ca="1">_xlfn.IFS(               Tab_NewTRADER[[#This Row],[Trap_vs_Last]]=NoStock,(Tab_NewTRADER[[#This Row],[L_Sp]]-Tab_NewTRADER[[#This Row],[M]])/Tab_NewTRADER[[#This Row],[M]]-Commission,             Tab_NewTRADER[[#This Row],[A]]&lt;&gt;0,(Tab_NewTRADER[[#This Row],[A]]-Tab_NewTRADER[[#This Row],[M]])/Tab_NewTRADER[[#This Row],[M]]-Commission)</f>
        <v>1.8259538784067088E-2</v>
      </c>
      <c r="BB50" s="324">
        <f ca="1">_xlfn.XLOOKUP(Tab_NewTRADER[[#This Row],[ClickTick]],TabCalc[Ticker],TabCalc[L_Sn])</f>
        <v>21</v>
      </c>
      <c r="BC50" s="728">
        <f ca="1">_xlfn.XLOOKUP(Tab_NewTRADER[[#This Row],[ClickTick]],TabCalc[Ticker],TabCalc[L_Sp])</f>
        <v>61.2</v>
      </c>
      <c r="BD50" s="764">
        <f ca="1">-IFERROR((Tab_NewTRADER[[#This Row],[M]]-Tab_NewTRADER[[#This Row],[L_Sp]])/Tab_NewTRADER[[#This Row],[L_Sp]],0)</f>
        <v>4.7385620915032768E-2</v>
      </c>
      <c r="BE50" s="729">
        <f ca="1">MIN(Tab_NewTRADER[[#This Row],[L_Sn]],Tab_NewTRADER[[#This Row],[N]])*(Tab_NewTRADER[[#This Row],[M]]-Tab_NewTRADER[[#This Row],[L_Sp]])*(1-Commission)*Tab_NewTRADER[[#This Row],[Scale]]</f>
        <v>-60.741660000000117</v>
      </c>
      <c r="BF50" s="692">
        <f ca="1">Tab_NewTRADER[[#This Row],[L_Sn]]*(Tab_NewTRADER[[#This Row],[Agiotage]]-Tab_NewTRADER[[#This Row],[M]])/(Tab_NewTRADER[[#This Row],[L_Bn]]*Tab_NewTRADER[[#This Row],[M]])</f>
        <v>-1.0362804224365141E-2</v>
      </c>
      <c r="BG50" s="635">
        <f ca="1">IFERROR((Tab_NewTRADER[[#This Row],[M]]-Tab_NewTRADER[[#This Row],[A]])/Tab_NewTRADER[[#This Row],[A]],0)</f>
        <v>-2.0433309374679128E-2</v>
      </c>
      <c r="BH50" s="638" t="str">
        <f ca="1">TEXT(_xlfn.XLOOKUP(Tab_NewTRADER[[#This Row],[ClickTick]],TabCalc[Ticker],TabCalc[NAfter]),"#,#0")&amp;" : "&amp;TEXT(_xlfn.XLOOKUP(Tab_NewTRADER[[#This Row],[ClickTick]],TabCalc[Ticker],TabCalc[NAfter])*(Tab_NewTRADER[[#This Row],[M]]-Tab_NewTRADER[[#This Row],[A]])*(1-Commission)*Tab_NewTRADER[[#This Row],[Scale]],"#,#0$")</f>
        <v>20,000 : -24,259$</v>
      </c>
      <c r="BI50" s="684">
        <f ca="1">_xlfn.XLOOKUP(Tab_NewTRADER[[#This Row],[ClickTick]],TabCalc[[#This Row],[Ticker]],TabCalc[[#This Row],[GL]])*(1-Commission)</f>
        <v>120190.99879399994</v>
      </c>
      <c r="BJ50" s="684"/>
      <c r="BK50" s="669" t="str">
        <f ca="1">Tab_NewTRADER[[#This Row],[ClickTick]]&amp;": "&amp;_xlfn.XLOOKUP(Tab_NewTRADER[[#This Row],[ClickTick]],TabCalc[Ticker],TabCalc[Pile?])</f>
        <v xml:space="preserve">VONN: </v>
      </c>
      <c r="BL50" s="351" t="s">
        <v>1927</v>
      </c>
      <c r="BM50" s="755" t="str" cm="1">
        <f t="array" aca="1" ref="BM50" ca="1">_xlfn.TEXTJOIN("",,INDEX({"M","A","Y"}, _xlfn.SORTBY({1,2,3}, -CHOOSE({1,2,3}, Tab_NewTRADER[[#This Row],[M]], Tab_NewTRADER[[#This Row],[A]], Tab_NewTRADER[[#This Row],[Agiotage]]))))</f>
        <v>AMY</v>
      </c>
      <c r="BN50" s="909" cm="1">
        <f t="array" aca="1" ref="BN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2.5728987993139914E-3</v>
      </c>
      <c r="BO50" s="679" t="e">
        <f ca="1">Tab_NewTRADER[[#This Row],[L_Sn]]*Tab_NewTRADER[[#This Row],[L_Sp]]+Tab_NewTRADER[[#This Row],[SellMore]]*Tab_NewTRADER[[#This Row],[M]]</f>
        <v>#N/A</v>
      </c>
      <c r="BP50" s="679" t="e">
        <f ca="1">INDEX(
  INDEX(TabConsolid[], , _xlfn.XMATCH(Tab_NewTRADER[[#This Row],[ClickTick]]&amp;1, TabConsolid[#Headers])),
  MATCH(
    -Tab_NewTRADER[[#This Row],[M]],
    INDEX(TabConsolid[], , _xlfn.XMATCH(Tab_NewTRADER[[#This Row],[ClickTick]]&amp;2, TabConsolid[#Headers])),
    -1
  )
)</f>
        <v>#N/A</v>
      </c>
      <c r="BQ50" s="679" cm="1">
        <f t="array" aca="1" ref="BQ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50" s="1156" t="e">
        <f ca="1">Tab_NewTRADER[[#This Row],[ReBuy]]/(Tab_NewTRADER[[#This Row],[L_Sn]]+Tab_NewTRADER[[#This Row],[SellMore]])</f>
        <v>#N/A</v>
      </c>
      <c r="BS50" s="687">
        <f ca="1">((_xlfn.XLOOKUP(Tab_NewTRADER[[#This Row],[ClickTick]],TabCalc[Ticker],TabCalc[NAfter])+Tab_NewTRADER[[#This Row],[L_Sn]])*(Tab_NewTRADER[[#This Row],[Agiotage]]-Tab_NewTRADER[[#This Row],[M]]))/(Tab_NewTRADER[[#This Row],[L_Sn]]*_xlfn.XLOOKUP(Tab_NewTRADER[[#This Row],[ClickTick]],TabCalc[Ticker],TabCalc[NAfter]))</f>
        <v>-2.7427929493926633</v>
      </c>
      <c r="BT50" s="687">
        <f ca="1">(Tab_NewTRADER[[#This Row],[M]]-Tab_NewTRADER[[#This Row],[Agiotage]])/(Tab_NewTRADER[[#This Row],[M]]-Tab_NewTRADER[[#This Row],[A]])-1</f>
        <v>-48.313305719283775</v>
      </c>
      <c r="BU50" s="1277">
        <f ca="1">_xlfn.XMATCH(Tab_NewTRADER[[#This Row],[ClickTick]]&amp;1, TabConsolid[#Headers])</f>
        <v>146</v>
      </c>
      <c r="BV50" t="str">
        <f ca="1">IF(ABS(Tab_NewTRADER[[#This Row],[L_Bp]])&gt;=Tab_NewTRADER[[#This Row],[M]],"OK")</f>
        <v>OK</v>
      </c>
    </row>
    <row r="51" spans="1:74"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+3,075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6.1%</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9,225$</v>
      </c>
      <c r="G51" s="225" t="str">
        <f ca="1">IFERROR(TRUNC(_xlfn.XLOOKUP(Tab_NewTRADER[[#This Row],[ClickTick]],TabCalc[Ticker],ListLastSalep),2)&amp;"x"&amp;_xlfn.XLOOKUP(Tab_NewTRADER[[#This Row],[ClickTick]],TabCalc[Ticker],ListLastSalen)&amp;"=   "&amp;TEXT(-_xlfn.XLOOKUP(Tab_NewTRADER[[#This Row],[ClickTick]],TabCalc[Ticker],ListReverseB),"#,#0")&amp;"$","")</f>
        <v>10.07x5000=   25$</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51" s="226" t="str">
        <f ca="1">IFERROR(TRUNC(TabCalc[[#This Row],[L_S1p]],2)&amp;"x"&amp;TabCalc[[#This Row],[L_S1n]]&amp;"=   "&amp;TEXT(TabCalc[[#This Row],[ReverseB1]],"#,#0"),"")</f>
        <v>10.58x5000=   2,525</v>
      </c>
      <c r="J51" s="295">
        <f ca="1">_xlfn.XLOOKUP(Tab_NewTRADER[[#This Row],[ClickTick]],TabCalc[Ticker],ListGravity)</f>
        <v>1.1910669975186106</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1.133621174719351</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6.5010570824524147E-2</v>
      </c>
      <c r="S51" s="683">
        <f ca="1">_xlfn.XLOOKUP(Tab_NewTRADER[[#This Row],[ClickTick]],TabCalc[Ticker],TabCalc[Rev(MinStock)])*(1-Commission)</f>
        <v>3067.0049999999919</v>
      </c>
      <c r="T51" s="782">
        <f ca="1">_xlfn.XLOOKUP(Tab_NewTRADER[[#This Row],[ClickTick]],TabCalc[Ticker],TabCalc[Agiotage])</f>
        <v>1.133621174719351</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25/25=&gt;-0.3% / -0.3%</v>
      </c>
      <c r="V51" s="739" t="str">
        <f ca="1">_xlfn.XLOOKUP(Tab_NewTRADER[[#This Row],[ClickTick]],[1]!RTData[Ticker_Symbol],[1]!RTData[Currency])</f>
        <v>USD</v>
      </c>
      <c r="W51" s="749">
        <f ca="1">_xlfn.XLOOKUP(Tab_NewTRADER[[#This Row],[ClickTick]],TabCalc[Ticker],TabCalc[M])</f>
        <v>10.074999999999999</v>
      </c>
      <c r="X51" s="1343"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-83/50 K$</v>
      </c>
      <c r="AE51" s="1195" t="str" cm="1">
        <f t="array" aca="1" ref="AE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1" s="1176" t="str" cm="1">
        <f t="array" aca="1" ref="AF51" ca="1">_xlfn.IFS(       Tab_NewTRADER[[#This Row],[Trap_vs_Last]]=RePurchaseGain,TEXT(Tab_NewTRADER[[#This Row],[L_Sn]],"#,#0")&amp;" x "&amp;TEXT(Tab_NewTRADER[[#This Row],[L_Sp]],"#,#0.#0"),     Tab_NewTRADER[[#This Row],[Trap_vs_Last]]=ReSaleGain,Tab_NewTRADER[[#This Row],[ToSell]],               TRUE,"")</f>
        <v/>
      </c>
      <c r="AG51" s="1177" t="str" cm="1">
        <f t="array" aca="1" ref="AG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H51" s="1370" t="str">
        <f ca="1">TEXT(MIN(Tab_NewTRADER[[#This Row],[L_Bn]],Tab_NewTRADER[[#This Row],[N]]),"#,#0")&amp;" x "&amp;TEXT(Tab_NewTRADER[[#This Row],[L_Bp]],"#,#0.#0")</f>
        <v>5,000 x -9.46</v>
      </c>
      <c r="AI51" s="1370">
        <f ca="1">IF(Tab_NewTRADER[[#This Row],[M]]&lt;_xlfn.XLOOKUP(Tab_NewTRADER[[#This Row],[ClickTick]],TabCalc[Ticker],TabCalc[Max_Buy_P]), 0,Tab_NewTRADER[[#This Row],[Sale_Back_$]])</f>
        <v>3067.0049999999919</v>
      </c>
      <c r="AJ51" s="1370" t="str">
        <f ca="1">TEXT(Tab_NewTRADER[[#This Row],[L_Sn]],"#,#0")&amp;" ("&amp;Tab_NewTRADER[[#This Row],[M]]&amp;"/"&amp;TEXT(Tab_NewTRADER[[#This Row],[L_Sp]],"#,#0.#0)")</f>
        <v>5,000 (10.075/10.07)</v>
      </c>
      <c r="AK51" s="1370">
        <f ca="1">IF(Tab_NewTRADER[[#This Row],[M]]&lt;_xlfn.XLOOKUP(Tab_NewTRADER[[#This Row],[ClickTick]],TabCalc[Ticker],TabCalc[Max_Buy_P]), -Tab_NewTRADER[[#This Row],[Buy_Back]], 0)</f>
        <v>0</v>
      </c>
      <c r="AL51" s="1177" cm="1">
        <f t="array" aca="1" ref="AL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24.934999999995039</v>
      </c>
      <c r="AM51" s="1177">
        <f ca="1">Tab_NewTRADER[[#This Row],[N]]*(Tab_NewTRADER[[#This Row],[M]]-Tab_NewTRADER[[#This Row],[A]])*(1-Commission)*Tab_NewTRADER[[#This Row],[Scale]]</f>
        <v>3067.0049999999919</v>
      </c>
      <c r="AN51" s="1177">
        <f ca="1">Tab_NewTRADER[[#This Row],[M]]*Tab_NewTRADER[[#This Row],[N]]*(1-Commission)*Tab_NewTRADER[[#This Row],[Scale]]</f>
        <v>50244.024999999994</v>
      </c>
      <c r="AO51" s="1186" cm="1">
        <f t="array" aca="1" ref="AO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6.5010570824524147E-2</v>
      </c>
      <c r="AP51" s="1186" cm="1">
        <f t="array" aca="1" ref="AP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-2.1037220843673444E-3</v>
      </c>
      <c r="AQ51" s="825" cm="1">
        <f t="array" aca="1" ref="AQ51" ca="1">_xlfn.IFS(   Tab_NewTRADER[[#This Row],[Trap_vs_Last]]=SellMorePercentGain,                     MIN(Tab_NewTRADER[[#This Row],[L_Sn]],Tab_NewTRADER[[#This Row],[N]])*(Tab_NewTRADER[[#This Row],[M]]-Tab_NewTRADER[[#This Row],[L_Sp]])*(1-Commission)*Tab_NewTRADER[[#This Row],[Scale]],                    TRUE,"")</f>
        <v>24.934999999995039</v>
      </c>
      <c r="AR51" s="1175">
        <f ca="1">_xlfn.XLOOKUP(Tab_NewTRADER[[#This Row],[ClickTick]],TabCalc[Ticker],TabCalc[Ann%RevLB])</f>
        <v>0.54427454643787654</v>
      </c>
      <c r="AS51" s="1282">
        <f ca="1">_xlfn.XLOOKUP(Tab_NewTRADER[[#This Row],[ClickTick]],TabCalc[Ticker],TabCalc[Up20])</f>
        <v>0</v>
      </c>
      <c r="AT51" s="1258" t="str" cm="1">
        <f t="array" aca="1" ref="AT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1" s="825" t="str" cm="1">
        <f t="array" aca="1" ref="AU51" ca="1">_xlfn.IFS(         Tab_NewTRADER[[#This Row],[Trap_vs_Last]]=MDown,Tab_NewTRADER[[#This Row],[L_Bn]]*Tab_NewTRADER[[#This Row],[M]]*(-(Tab_NewTRADER[[#This Row],[L_Bp]]+Tab_NewTRADER[[#This Row],[M]])/Tab_NewTRADER[[#This Row],[M]])*(1-Commission)*Tab_NewTRADER[[#This Row],[Scale]],                               TRUE,"")</f>
        <v/>
      </c>
      <c r="AV51" s="1186" cm="1">
        <f t="array" aca="1" ref="AV51" ca="1">_xlfn.IFS(   Tab_NewTRADER[[#This Row],[Trap_vs_Last]]=MUp,Tab_NewTRADER[[#This Row],[TakeGain_A]]-Commission,        Tab_NewTRADER[[#This Row],[Trap_vs_Last]]=MDown,(Tab_NewTRADER[[#This Row],[A]]-Tab_NewTRADER[[#This Row],[M]])/Tab_NewTRADER[[#This Row],[M]]-Commission,                              TRUE,"")</f>
        <v>6.2410570824524149E-2</v>
      </c>
      <c r="AW51" s="825" cm="1">
        <f t="array" aca="1" ref="AW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3266.3927457716618</v>
      </c>
      <c r="AX51" s="760" t="str" cm="1">
        <f t="array" aca="1" ref="AX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Y51" s="736" t="str" cm="1">
        <f t="array" aca="1" ref="AY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5,000x0.61</v>
      </c>
      <c r="AZ51" s="765" cm="1">
        <f t="array" aca="1" ref="AZ51" ca="1">_xlfn.IFS(Tab_NewTRADER[[#This Row],[Trap_vs_Last]]=ReSaleGain,"",         Tab_NewTRADER[[#This Row],[Trap_vs_Last]]=MDown, (Tab_NewTRADER[[#This Row],[M]]-Tab_NewTRADER[[#This Row],[A]])/Tab_NewTRADER[[#This Row],[A]]*ComFactor,             TRUE, IFERROR((Tab_NewTRADER[[#This Row],[M]]-Tab_NewTRADER[[#This Row],[A]])/Tab_NewTRADER[[#This Row],[A]]*ComFactor,""))</f>
        <v>6.4841543340380378E-2</v>
      </c>
      <c r="BA51" s="762" cm="1">
        <f t="array" aca="1" ref="BA51" ca="1">_xlfn.IFS(               Tab_NewTRADER[[#This Row],[Trap_vs_Last]]=NoStock,(Tab_NewTRADER[[#This Row],[L_Sp]]-Tab_NewTRADER[[#This Row],[M]])/Tab_NewTRADER[[#This Row],[M]]-Commission,             Tab_NewTRADER[[#This Row],[A]]&lt;&gt;0,(Tab_NewTRADER[[#This Row],[A]]-Tab_NewTRADER[[#This Row],[M]])/Tab_NewTRADER[[#This Row],[M]]-Commission)</f>
        <v>-6.3642183622828641E-2</v>
      </c>
      <c r="BB51" s="324">
        <f ca="1">_xlfn.XLOOKUP(Tab_NewTRADER[[#This Row],[ClickTick]],TabCalc[Ticker],TabCalc[L_Sn])</f>
        <v>5000</v>
      </c>
      <c r="BC51" s="728">
        <f ca="1">_xlfn.XLOOKUP(Tab_NewTRADER[[#This Row],[ClickTick]],TabCalc[Ticker],TabCalc[L_Sp])</f>
        <v>10.07</v>
      </c>
      <c r="BD51" s="764">
        <f ca="1">-IFERROR((Tab_NewTRADER[[#This Row],[M]]-Tab_NewTRADER[[#This Row],[L_Sp]])/Tab_NewTRADER[[#This Row],[L_Sp]],0)</f>
        <v>-4.9652432969205613E-4</v>
      </c>
      <c r="BE51" s="729">
        <f ca="1">MIN(Tab_NewTRADER[[#This Row],[L_Sn]],Tab_NewTRADER[[#This Row],[N]])*(Tab_NewTRADER[[#This Row],[M]]-Tab_NewTRADER[[#This Row],[L_Sp]])*(1-Commission)*Tab_NewTRADER[[#This Row],[Scale]]</f>
        <v>24.934999999995039</v>
      </c>
      <c r="BF51" s="692">
        <f ca="1">Tab_NewTRADER[[#This Row],[L_Sn]]*(Tab_NewTRADER[[#This Row],[Agiotage]]-Tab_NewTRADER[[#This Row],[M]])/(Tab_NewTRADER[[#This Row],[L_Bn]]*Tab_NewTRADER[[#This Row],[M]])</f>
        <v>-0.8874817692586251</v>
      </c>
      <c r="BG51" s="635">
        <f ca="1">IFERROR((Tab_NewTRADER[[#This Row],[M]]-Tab_NewTRADER[[#This Row],[A]])/Tab_NewTRADER[[#This Row],[A]],0)</f>
        <v>6.5010570824524147E-2</v>
      </c>
      <c r="BH51" s="638" t="str">
        <f ca="1">TEXT(_xlfn.XLOOKUP(Tab_NewTRADER[[#This Row],[ClickTick]],TabCalc[Ticker],TabCalc[NAfter]),"#,#0")&amp;" : "&amp;TEXT(_xlfn.XLOOKUP(Tab_NewTRADER[[#This Row],[ClickTick]],TabCalc[Ticker],TabCalc[NAfter])*(Tab_NewTRADER[[#This Row],[M]]-Tab_NewTRADER[[#This Row],[A]])*(1-Commission)*Tab_NewTRADER[[#This Row],[Scale]],"#,#0$")</f>
        <v>5,000 : 3,067$</v>
      </c>
      <c r="BI51" s="684">
        <f ca="1">_xlfn.XLOOKUP(Tab_NewTRADER[[#This Row],[ClickTick]],TabCalc[[#This Row],[Ticker]],TabCalc[[#This Row],[GL]])*(1-Commission)</f>
        <v>-82454.010729999951</v>
      </c>
      <c r="BJ51" s="684"/>
      <c r="BK51" s="669" t="str">
        <f ca="1">Tab_NewTRADER[[#This Row],[ClickTick]]&amp;": "&amp;_xlfn.XLOOKUP(Tab_NewTRADER[[#This Row],[ClickTick]],TabCalc[Ticker],TabCalc[Pile?])</f>
        <v xml:space="preserve">VTRS: </v>
      </c>
      <c r="BL51" s="351" t="s">
        <v>1929</v>
      </c>
      <c r="BM51" s="755" t="str" cm="1">
        <f t="array" aca="1" ref="BM51" ca="1">_xlfn.TEXTJOIN("",,INDEX({"M","A","Y"}, _xlfn.SORTBY({1,2,3}, -CHOOSE({1,2,3}, Tab_NewTRADER[[#This Row],[M]], Tab_NewTRADER[[#This Row],[A]], Tab_NewTRADER[[#This Row],[Agiotage]]))))</f>
        <v>MAY</v>
      </c>
      <c r="BN51" s="909" cm="1">
        <f t="array" aca="1" ref="BN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4.9627791563265568E-4</v>
      </c>
      <c r="BO51" s="679">
        <f ca="1">Tab_NewTRADER[[#This Row],[L_Sn]]*Tab_NewTRADER[[#This Row],[L_Sp]]+Tab_NewTRADER[[#This Row],[SellMore]]*Tab_NewTRADER[[#This Row],[M]]</f>
        <v>100725</v>
      </c>
      <c r="BP51" s="679">
        <f ca="1">INDEX(
  INDEX(TabConsolid[], , _xlfn.XMATCH(Tab_NewTRADER[[#This Row],[ClickTick]]&amp;1, TabConsolid[#Headers])),
  MATCH(
    -Tab_NewTRADER[[#This Row],[M]],
    INDEX(TabConsolid[], , _xlfn.XMATCH(Tab_NewTRADER[[#This Row],[ClickTick]]&amp;2, TabConsolid[#Headers])),
    -1
  )
)</f>
        <v>5000</v>
      </c>
      <c r="BQ51" s="679" cm="1">
        <f t="array" aca="1" ref="BQ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1" s="1156">
        <f ca="1">Tab_NewTRADER[[#This Row],[ReBuy]]/(Tab_NewTRADER[[#This Row],[L_Sn]]+Tab_NewTRADER[[#This Row],[SellMore]])</f>
        <v>10.0725</v>
      </c>
      <c r="BS51" s="687">
        <f ca="1">((_xlfn.XLOOKUP(Tab_NewTRADER[[#This Row],[ClickTick]],TabCalc[Ticker],TabCalc[NAfter])+Tab_NewTRADER[[#This Row],[L_Sn]])*(Tab_NewTRADER[[#This Row],[Agiotage]]-Tab_NewTRADER[[#This Row],[M]]))/(Tab_NewTRADER[[#This Row],[L_Sn]]*_xlfn.XLOOKUP(Tab_NewTRADER[[#This Row],[ClickTick]],TabCalc[Ticker],TabCalc[NAfter]))</f>
        <v>-3.5765515301122591E-3</v>
      </c>
      <c r="BT51" s="687">
        <f ca="1">(Tab_NewTRADER[[#This Row],[M]]-Tab_NewTRADER[[#This Row],[Agiotage]])/(Tab_NewTRADER[[#This Row],[M]]-Tab_NewTRADER[[#This Row],[A]])-1</f>
        <v>13.538827358179951</v>
      </c>
      <c r="BU51" s="1277">
        <f ca="1">_xlfn.XMATCH(Tab_NewTRADER[[#This Row],[ClickTick]]&amp;1, TabConsolid[#Headers])</f>
        <v>149</v>
      </c>
      <c r="BV51" t="b">
        <f ca="1">IF(ABS(Tab_NewTRADER[[#This Row],[L_Bp]])&gt;=Tab_NewTRADER[[#This Row],[M]],"OK")</f>
        <v>0</v>
      </c>
    </row>
    <row r="52" spans="1:74"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43"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E52" s="1173" t="str" cm="1">
        <f t="array" aca="1" ref="AE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2" s="1176" t="str" cm="1">
        <f t="array" aca="1" ref="AF52" ca="1">_xlfn.IFS(       Tab_NewTRADER[[#This Row],[Trap_vs_Last]]=RePurchaseGain,TEXT(Tab_NewTRADER[[#This Row],[L_Sn]],"#,#0")&amp;" x "&amp;TEXT(Tab_NewTRADER[[#This Row],[L_Sp]],"#,#0.#0"),     Tab_NewTRADER[[#This Row],[Trap_vs_Last]]=ReSaleGain,Tab_NewTRADER[[#This Row],[ToSell]],               TRUE,"")</f>
        <v/>
      </c>
      <c r="AG52" s="1177" t="str" cm="1">
        <f t="array" aca="1" ref="AG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H52" s="1370" t="str">
        <f ca="1">TEXT(MIN(Tab_NewTRADER[[#This Row],[L_Bn]],Tab_NewTRADER[[#This Row],[N]]),"#,#0")&amp;" x "&amp;TEXT(Tab_NewTRADER[[#This Row],[L_Bp]],"#,#0.#0")</f>
        <v>3,000 x -10.06</v>
      </c>
      <c r="AI52" s="1370">
        <f ca="1">IF(Tab_NewTRADER[[#This Row],[M]]&lt;_xlfn.XLOOKUP(Tab_NewTRADER[[#This Row],[ClickTick]],TabCalc[Ticker],TabCalc[Max_Buy_P]), 0,Tab_NewTRADER[[#This Row],[Sale_Back_$]])</f>
        <v>5745.3232199999993</v>
      </c>
      <c r="AJ52" s="1370" t="str">
        <f ca="1">TEXT(Tab_NewTRADER[[#This Row],[L_Sn]],"#,#0")&amp;" ("&amp;Tab_NewTRADER[[#This Row],[M]]&amp;"/"&amp;TEXT(Tab_NewTRADER[[#This Row],[L_Sp]],"#,#0.#0)")</f>
        <v>4,000 (11.98/11.25)</v>
      </c>
      <c r="AK52" s="1370">
        <f ca="1">IF(Tab_NewTRADER[[#This Row],[M]]&lt;_xlfn.XLOOKUP(Tab_NewTRADER[[#This Row],[ClickTick]],TabCalc[Ticker],TabCalc[Max_Buy_P]), -Tab_NewTRADER[[#This Row],[Buy_Back]], 0)</f>
        <v>0</v>
      </c>
      <c r="AL52" s="1177" cm="1">
        <f t="array" aca="1" ref="AL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M52" s="1177">
        <f ca="1">Tab_NewTRADER[[#This Row],[N]]*(Tab_NewTRADER[[#This Row],[M]]-Tab_NewTRADER[[#This Row],[A]])*(1-Commission)*Tab_NewTRADER[[#This Row],[Scale]]</f>
        <v>5745.3232199999993</v>
      </c>
      <c r="AN52" s="1177">
        <f ca="1">Tab_NewTRADER[[#This Row],[M]]*Tab_NewTRADER[[#This Row],[N]]*(1-Commission)*Tab_NewTRADER[[#This Row],[Scale]]</f>
        <v>35846.555999999997</v>
      </c>
      <c r="AO52" s="1186" cm="1">
        <f t="array" aca="1" ref="AO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P52" s="1186" cm="1">
        <f t="array" aca="1" ref="AP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Tab_NewTRADER[[#This Row],[Trap_vs_Last]]=SellMorePercentGain,                     MIN(Tab_NewTRADER[[#This Row],[L_Sn]],Tab_NewTRADER[[#This Row],[N]])*(Tab_NewTRADER[[#This Row],[M]]-Tab_NewTRADER[[#This Row],[L_Sp]])*(1-Commission)*Tab_NewTRADER[[#This Row],[Scale]],                    TRUE,"")</f>
        <v>2181.0145800000032</v>
      </c>
      <c r="AR52" s="1175">
        <f ca="1">_xlfn.XLOOKUP(Tab_NewTRADER[[#This Row],[ClickTick]],TabCalc[Ticker],TabCalc[Ann%RevLB])</f>
        <v>0.25077377748164403</v>
      </c>
      <c r="AS52" s="1175">
        <f ca="1">_xlfn.XLOOKUP(Tab_NewTRADER[[#This Row],[ClickTick]],TabCalc[Ticker],TabCalc[Up20])</f>
        <v>0</v>
      </c>
      <c r="AT52" s="310" t="str" cm="1">
        <f t="array" aca="1" ref="AT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2" s="825" t="str" cm="1">
        <f t="array" aca="1" ref="AU52" ca="1">_xlfn.IFS(         Tab_NewTRADER[[#This Row],[Trap_vs_Last]]=MDown,Tab_NewTRADER[[#This Row],[L_Bn]]*Tab_NewTRADER[[#This Row],[M]]*(-(Tab_NewTRADER[[#This Row],[L_Bp]]+Tab_NewTRADER[[#This Row],[M]])/Tab_NewTRADER[[#This Row],[M]])*(1-Commission)*Tab_NewTRADER[[#This Row],[Scale]],                               TRUE,"")</f>
        <v/>
      </c>
      <c r="AV52" s="1186" cm="1">
        <f t="array" aca="1" ref="AV52" ca="1">_xlfn.IFS(   Tab_NewTRADER[[#This Row],[Trap_vs_Last]]=MUp,Tab_NewTRADER[[#This Row],[TakeGain_A]]-Commission,        Tab_NewTRADER[[#This Row],[Trap_vs_Last]]=MDown,(Tab_NewTRADER[[#This Row],[A]]-Tab_NewTRADER[[#This Row],[M]])/Tab_NewTRADER[[#This Row],[M]]-Commission,                              TRUE,"")</f>
        <v>0.18826670841658463</v>
      </c>
      <c r="AW52" s="825" cm="1">
        <f t="array" aca="1" ref="AW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X52" s="760" t="str" cm="1">
        <f t="array" aca="1" ref="AX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52" s="736" t="str" cm="1">
        <f t="array" aca="1" ref="AY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AZ52" s="765" cm="1">
        <f t="array" aca="1" ref="AZ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A52" s="762" cm="1">
        <f t="array" aca="1" ref="BA52" ca="1">_xlfn.IFS(               Tab_NewTRADER[[#This Row],[Trap_vs_Last]]=NoStock,(Tab_NewTRADER[[#This Row],[L_Sp]]-Tab_NewTRADER[[#This Row],[M]])/Tab_NewTRADER[[#This Row],[M]]-Commission,             Tab_NewTRADER[[#This Row],[A]]&lt;&gt;0,(Tab_NewTRADER[[#This Row],[A]]-Tab_NewTRADER[[#This Row],[M]])/Tab_NewTRADER[[#This Row],[M]]-Commission)</f>
        <v>-0.16287545909849746</v>
      </c>
      <c r="BB52" s="324">
        <f ca="1">_xlfn.XLOOKUP(Tab_NewTRADER[[#This Row],[ClickTick]],TabCalc[Ticker],TabCalc[L_Sn])</f>
        <v>4000</v>
      </c>
      <c r="BC52" s="728">
        <f ca="1">_xlfn.XLOOKUP(Tab_NewTRADER[[#This Row],[ClickTick]],TabCalc[Ticker],TabCalc[L_Sp])</f>
        <v>11.251099999999999</v>
      </c>
      <c r="BD52" s="764">
        <f ca="1">-IFERROR((Tab_NewTRADER[[#This Row],[M]]-Tab_NewTRADER[[#This Row],[L_Sp]])/Tab_NewTRADER[[#This Row],[L_Sp]],0)</f>
        <v>-6.478477659962148E-2</v>
      </c>
      <c r="BE52" s="729">
        <f ca="1">MIN(Tab_NewTRADER[[#This Row],[L_Sn]],Tab_NewTRADER[[#This Row],[N]])*(Tab_NewTRADER[[#This Row],[M]]-Tab_NewTRADER[[#This Row],[L_Sp]])*(1-Commission)*Tab_NewTRADER[[#This Row],[Scale]]</f>
        <v>2181.0145800000032</v>
      </c>
      <c r="BF52" s="692">
        <f ca="1">Tab_NewTRADER[[#This Row],[L_Sn]]*(Tab_NewTRADER[[#This Row],[Agiotage]]-Tab_NewTRADER[[#This Row],[M]])/(Tab_NewTRADER[[#This Row],[L_Bn]]*Tab_NewTRADER[[#This Row],[M]])</f>
        <v>0.15441291211435451</v>
      </c>
      <c r="BG52" s="635">
        <f ca="1">IFERROR((Tab_NewTRADER[[#This Row],[M]]-Tab_NewTRADER[[#This Row],[A]])/Tab_NewTRADER[[#This Row],[A]],0)</f>
        <v>0.19086670841658462</v>
      </c>
      <c r="BH52" s="638" t="str">
        <f ca="1">TEXT(_xlfn.XLOOKUP(Tab_NewTRADER[[#This Row],[ClickTick]],TabCalc[Ticker],TabCalc[NAfter]),"#,#0")&amp;" : "&amp;TEXT(_xlfn.XLOOKUP(Tab_NewTRADER[[#This Row],[ClickTick]],TabCalc[Ticker],TabCalc[NAfter])*(Tab_NewTRADER[[#This Row],[M]]-Tab_NewTRADER[[#This Row],[A]])*(1-Commission)*Tab_NewTRADER[[#This Row],[Scale]],"#,#0$")</f>
        <v>3,000 : 5,745$</v>
      </c>
      <c r="BI52" s="684">
        <f ca="1">_xlfn.XLOOKUP(Tab_NewTRADER[[#This Row],[ClickTick]],TabCalc[[#This Row],[Ticker]],TabCalc[[#This Row],[GL]])*(1-Commission)</f>
        <v>-21605.434437000004</v>
      </c>
      <c r="BJ52" s="684"/>
      <c r="BK52" s="669" t="str">
        <f ca="1">Tab_NewTRADER[[#This Row],[ClickTick]]&amp;": "&amp;_xlfn.XLOOKUP(Tab_NewTRADER[[#This Row],[ClickTick]],TabCalc[Ticker],TabCalc[Pile?])</f>
        <v xml:space="preserve">WBA: </v>
      </c>
      <c r="BL52" s="351" t="s">
        <v>1930</v>
      </c>
      <c r="BM52" s="755" t="str" cm="1">
        <f t="array" aca="1" ref="BM52" ca="1">_xlfn.TEXTJOIN("",,INDEX({"M","A","Y"}, _xlfn.SORTBY({1,2,3}, -CHOOSE({1,2,3}, Tab_NewTRADER[[#This Row],[M]], Tab_NewTRADER[[#This Row],[A]], Tab_NewTRADER[[#This Row],[Agiotage]]))))</f>
        <v>YMA</v>
      </c>
      <c r="BN52" s="909" cm="1">
        <f t="array" aca="1" ref="BN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O52" s="679">
        <f ca="1">Tab_NewTRADER[[#This Row],[L_Sn]]*Tab_NewTRADER[[#This Row],[L_Sp]]+Tab_NewTRADER[[#This Row],[SellMore]]*Tab_NewTRADER[[#This Row],[M]]</f>
        <v>80944.399999999994</v>
      </c>
      <c r="BP52" s="679">
        <f ca="1">INDEX(
  INDEX(TabConsolid[], , _xlfn.XMATCH(Tab_NewTRADER[[#This Row],[ClickTick]]&amp;1, TabConsolid[#Headers])),
  MATCH(
    -Tab_NewTRADER[[#This Row],[M]],
    INDEX(TabConsolid[], , _xlfn.XMATCH(Tab_NewTRADER[[#This Row],[ClickTick]]&amp;2, TabConsolid[#Headers])),
    -1
  )
)</f>
        <v>3000</v>
      </c>
      <c r="BQ52" s="679" cm="1">
        <f t="array" aca="1" ref="BQ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2" s="1156">
        <f ca="1">Tab_NewTRADER[[#This Row],[ReBuy]]/(Tab_NewTRADER[[#This Row],[L_Sn]]+Tab_NewTRADER[[#This Row],[SellMore]])</f>
        <v>11.563485714285713</v>
      </c>
      <c r="BS52" s="687">
        <f ca="1">((_xlfn.XLOOKUP(Tab_NewTRADER[[#This Row],[ClickTick]],TabCalc[Ticker],TabCalc[NAfter])+Tab_NewTRADER[[#This Row],[L_Sn]])*(Tab_NewTRADER[[#This Row],[Agiotage]]-Tab_NewTRADER[[#This Row],[M]]))/(Tab_NewTRADER[[#This Row],[L_Sn]]*_xlfn.XLOOKUP(Tab_NewTRADER[[#This Row],[ClickTick]],TabCalc[Ticker],TabCalc[NAfter]))</f>
        <v>1.753519463841948E-3</v>
      </c>
      <c r="BT52" s="687">
        <f ca="1">(Tab_NewTRADER[[#This Row],[M]]-Tab_NewTRADER[[#This Row],[Agiotage]])/(Tab_NewTRADER[[#This Row],[M]]-Tab_NewTRADER[[#This Row],[A]])-1</f>
        <v>-2.56556083880329</v>
      </c>
      <c r="BU52" s="1277">
        <f ca="1">_xlfn.XMATCH(Tab_NewTRADER[[#This Row],[ClickTick]]&amp;1, TabConsolid[#Headers])</f>
        <v>152</v>
      </c>
      <c r="BV52" t="b">
        <f ca="1">IF(ABS(Tab_NewTRADER[[#This Row],[L_Bp]])&gt;=Tab_NewTRADER[[#This Row],[M]],"OK")</f>
        <v>0</v>
      </c>
    </row>
    <row r="53" spans="1:74"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-30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5,650$</v>
      </c>
      <c r="G53" s="225" t="str">
        <f ca="1">IFERROR(TRUNC(_xlfn.XLOOKUP(Tab_NewTRADER[[#This Row],[ClickTick]],TabCalc[Ticker],ListLastSalep),2)&amp;"x"&amp;_xlfn.XLOOKUP(Tab_NewTRADER[[#This Row],[ClickTick]],TabCalc[Ticker],ListLastSalen)&amp;"=   "&amp;TEXT(-_xlfn.XLOOKUP(Tab_NewTRADER[[#This Row],[ClickTick]],TabCalc[Ticker],ListReverseB),"#,#0")&amp;"$","")</f>
        <v>107.37x1800=   18,036$</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8.5% = 0</v>
      </c>
      <c r="I53" s="226" t="str">
        <f ca="1">IFERROR(TRUNC(TabCalc[[#This Row],[L_S1p]],2)&amp;"x"&amp;TabCalc[[#This Row],[L_S1n]]&amp;"=   "&amp;TEXT(TabCalc[[#This Row],[ReverseB1]],"#,#0"),"")</f>
        <v>114.13x1800=   -5,868</v>
      </c>
      <c r="J53" s="295">
        <f ca="1">_xlfn.XLOOKUP(Tab_NewTRADER[[#This Row],[ClickTick]],TabCalc[Ticker],ListGravity)</f>
        <v>1.0808416389811739</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35217</v>
      </c>
      <c r="M53" s="323">
        <f ca="1">_xlfn.XLOOKUP(Tab_NewTRADER[[#This Row],[ClickTick]],TabCalc[Ticker],TabCalc[Agiotage])</f>
        <v>0.81372672061593609</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-8.5113626691628492E-4</v>
      </c>
      <c r="S53" s="683">
        <f ca="1">_xlfn.XLOOKUP(Tab_NewTRADER[[#This Row],[ClickTick]],TabCalc[Ticker],TabCalc[Rev(MinStock)])*(1-Commission)</f>
        <v>-29.921999999998299</v>
      </c>
      <c r="T53" s="782">
        <f ca="1">_xlfn.XLOOKUP(Tab_NewTRADER[[#This Row],[ClickTick]],TabCalc[Ticker],TabCalc[Agiotage])</f>
        <v>0.81372672061593609</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1,110/1,110=&gt;2.5% / 2.5%</v>
      </c>
      <c r="V53" s="739" t="str">
        <f ca="1">_xlfn.XLOOKUP(Tab_NewTRADER[[#This Row],[ClickTick]],[1]!RTData[Ticker_Symbol],[1]!RTData[Currency])</f>
        <v>USD</v>
      </c>
      <c r="W53" s="749">
        <f ca="1">_xlfn.XLOOKUP(Tab_NewTRADER[[#This Row],[ClickTick]],TabCalc[Ticker],TabCalc[M])</f>
        <v>117.39</v>
      </c>
      <c r="X53" s="1343"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 / 59 K$</v>
      </c>
      <c r="AE53" s="1195" t="str" cm="1">
        <f t="array" aca="1" ref="AE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3" s="1176" t="str" cm="1">
        <f t="array" aca="1" ref="AF53" ca="1">_xlfn.IFS(       Tab_NewTRADER[[#This Row],[Trap_vs_Last]]=RePurchaseGain,TEXT(Tab_NewTRADER[[#This Row],[L_Sn]],"#,#0")&amp;" x "&amp;TEXT(Tab_NewTRADER[[#This Row],[L_Sp]],"#,#0.#0"),     Tab_NewTRADER[[#This Row],[Trap_vs_Last]]=ReSaleGain,Tab_NewTRADER[[#This Row],[ToSell]],               TRUE,"")</f>
        <v/>
      </c>
      <c r="AG53" s="1177" t="str" cm="1">
        <f t="array" aca="1" ref="AG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-117.49</v>
      </c>
      <c r="AH53" s="1370" t="str">
        <f ca="1">TEXT(MIN(Tab_NewTRADER[[#This Row],[L_Bn]],Tab_NewTRADER[[#This Row],[N]]),"#,#0")&amp;" x "&amp;TEXT(Tab_NewTRADER[[#This Row],[L_Bp]],"#,#0.#0")</f>
        <v>300 x -117.49</v>
      </c>
      <c r="AI53" s="1370">
        <f ca="1">IF(Tab_NewTRADER[[#This Row],[M]]&lt;_xlfn.XLOOKUP(Tab_NewTRADER[[#This Row],[ClickTick]],TabCalc[Ticker],TabCalc[Max_Buy_P]), 0,Tab_NewTRADER[[#This Row],[Sale_Back_$]])</f>
        <v>0</v>
      </c>
      <c r="AJ53" s="1370" t="str">
        <f ca="1">TEXT(Tab_NewTRADER[[#This Row],[L_Sn]],"#,#0")&amp;" ("&amp;Tab_NewTRADER[[#This Row],[M]]&amp;"/"&amp;TEXT(Tab_NewTRADER[[#This Row],[L_Sp]],"#,#0.#0)")</f>
        <v>1,800 (117.39/107.37)</v>
      </c>
      <c r="AK53" s="1370">
        <f ca="1">IF(Tab_NewTRADER[[#This Row],[M]]&lt;_xlfn.XLOOKUP(Tab_NewTRADER[[#This Row],[ClickTick]],TabCalc[Ticker],TabCalc[Max_Buy_P]), -Tab_NewTRADER[[#This Row],[Buy_Back]], 0)</f>
        <v>-4996.9739999999983</v>
      </c>
      <c r="AL53" s="1177" cm="1">
        <f t="array" aca="1" ref="AL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29.921999999998299</v>
      </c>
      <c r="AM53" s="1177">
        <f ca="1">Tab_NewTRADER[[#This Row],[N]]*(Tab_NewTRADER[[#This Row],[M]]-Tab_NewTRADER[[#This Row],[A]])*(1-Commission)*Tab_NewTRADER[[#This Row],[Scale]]</f>
        <v>2224.2019999999966</v>
      </c>
      <c r="AN53" s="1177">
        <f ca="1">Tab_NewTRADER[[#This Row],[M]]*Tab_NewTRADER[[#This Row],[N]]*(1-Commission)*Tab_NewTRADER[[#This Row],[Scale]]</f>
        <v>58542.392999999996</v>
      </c>
      <c r="AO53" s="1186" cm="1">
        <f t="array" aca="1" ref="AO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-3.9493491543433928E-2</v>
      </c>
      <c r="AP53" s="1186" cm="1">
        <f t="array" aca="1" ref="AP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-1.7481386830224522E-3</v>
      </c>
      <c r="AQ53" s="825" t="str" cm="1">
        <f t="array" aca="1" ref="AQ53" ca="1">_xlfn.IFS(   Tab_NewTRADER[[#This Row],[Trap_vs_Last]]=SellMorePercentGain,                     MIN(Tab_NewTRADER[[#This Row],[L_Sn]],Tab_NewTRADER[[#This Row],[N]])*(Tab_NewTRADER[[#This Row],[M]]-Tab_NewTRADER[[#This Row],[L_Sp]])*(1-Commission)*Tab_NewTRADER[[#This Row],[Scale]],                    TRUE,"")</f>
        <v/>
      </c>
      <c r="AR53" s="1175">
        <f ca="1">_xlfn.XLOOKUP(Tab_NewTRADER[[#This Row],[ClickTick]],TabCalc[Ticker],TabCalc[Ann%RevLB])</f>
        <v>-7.2954537164252996E-3</v>
      </c>
      <c r="AS53" s="1282">
        <f ca="1">_xlfn.XLOOKUP(Tab_NewTRADER[[#This Row],[ClickTick]],TabCalc[Ticker],TabCalc[Up20])</f>
        <v>0</v>
      </c>
      <c r="AT53" s="310" cm="1">
        <f t="array" aca="1" ref="AT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8.518613169775476E-4</v>
      </c>
      <c r="AU53" s="825" cm="1">
        <f t="array" aca="1" ref="AU53" ca="1">_xlfn.IFS(         Tab_NewTRADER[[#This Row],[Trap_vs_Last]]=MDown,Tab_NewTRADER[[#This Row],[L_Bn]]*Tab_NewTRADER[[#This Row],[M]]*(-(Tab_NewTRADER[[#This Row],[L_Bp]]+Tab_NewTRADER[[#This Row],[M]])/Tab_NewTRADER[[#This Row],[M]])*(1-Commission)*Tab_NewTRADER[[#This Row],[Scale]],                               TRUE,"")</f>
        <v>29.921999999998299</v>
      </c>
      <c r="AV53" s="1186" cm="1">
        <f t="array" aca="1" ref="AV53" ca="1">_xlfn.IFS(   Tab_NewTRADER[[#This Row],[Trap_vs_Last]]=MUp,Tab_NewTRADER[[#This Row],[TakeGain_A]]-Commission,        Tab_NewTRADER[[#This Row],[Trap_vs_Last]]=MDown,(Tab_NewTRADER[[#This Row],[A]]-Tab_NewTRADER[[#This Row],[M]])/Tab_NewTRADER[[#This Row],[M]]-Commission,                              TRUE,"")</f>
        <v>-4.0593014737200728E-2</v>
      </c>
      <c r="AW53" s="825" cm="1">
        <f t="array" aca="1" ref="AW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-2224.2019999999966</v>
      </c>
      <c r="AX53" s="760" t="str" cm="1">
        <f t="array" aca="1" ref="AX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53" s="736" cm="1">
        <f t="array" aca="1" ref="AY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-0.09</v>
      </c>
      <c r="AZ53" s="765" cm="1">
        <f t="array" aca="1" ref="AZ53" ca="1">_xlfn.IFS(Tab_NewTRADER[[#This Row],[Trap_vs_Last]]=ReSaleGain,"",         Tab_NewTRADER[[#This Row],[Trap_vs_Last]]=MDown, (Tab_NewTRADER[[#This Row],[M]]-Tab_NewTRADER[[#This Row],[A]])/Tab_NewTRADER[[#This Row],[A]]*ComFactor,             TRUE, IFERROR((Tab_NewTRADER[[#This Row],[M]]-Tab_NewTRADER[[#This Row],[A]])/Tab_NewTRADER[[#This Row],[A]]*ComFactor,""))</f>
        <v>3.9390808465421E-2</v>
      </c>
      <c r="BA53" s="762" cm="1">
        <f t="array" aca="1" ref="BA53" ca="1">_xlfn.IFS(               Tab_NewTRADER[[#This Row],[Trap_vs_Last]]=NoStock,(Tab_NewTRADER[[#This Row],[L_Sp]]-Tab_NewTRADER[[#This Row],[M]])/Tab_NewTRADER[[#This Row],[M]]-Commission,             Tab_NewTRADER[[#This Row],[A]]&lt;&gt;0,(Tab_NewTRADER[[#This Row],[A]]-Tab_NewTRADER[[#This Row],[M]])/Tab_NewTRADER[[#This Row],[M]]-Commission)</f>
        <v>-4.0593014737200728E-2</v>
      </c>
      <c r="BB53" s="324">
        <f ca="1">_xlfn.XLOOKUP(Tab_NewTRADER[[#This Row],[ClickTick]],TabCalc[Ticker],TabCalc[L_Sn])</f>
        <v>1800</v>
      </c>
      <c r="BC53" s="728">
        <f ca="1">_xlfn.XLOOKUP(Tab_NewTRADER[[#This Row],[ClickTick]],TabCalc[Ticker],TabCalc[L_Sp])</f>
        <v>107.37</v>
      </c>
      <c r="BD53" s="764">
        <f ca="1">-IFERROR((Tab_NewTRADER[[#This Row],[M]]-Tab_NewTRADER[[#This Row],[L_Sp]])/Tab_NewTRADER[[#This Row],[L_Sp]],0)</f>
        <v>-9.3322157027102504E-2</v>
      </c>
      <c r="BE53" s="729">
        <f ca="1">MIN(Tab_NewTRADER[[#This Row],[L_Sn]],Tab_NewTRADER[[#This Row],[N]])*(Tab_NewTRADER[[#This Row],[M]]-Tab_NewTRADER[[#This Row],[L_Sp]])*(1-Commission)*Tab_NewTRADER[[#This Row],[Scale]]</f>
        <v>4996.9739999999983</v>
      </c>
      <c r="BF53" s="692">
        <f ca="1">Tab_NewTRADER[[#This Row],[L_Sn]]*(Tab_NewTRADER[[#This Row],[Agiotage]]-Tab_NewTRADER[[#This Row],[M]])/(Tab_NewTRADER[[#This Row],[L_Bn]]*Tab_NewTRADER[[#This Row],[M]])</f>
        <v>-5.9584090610469751</v>
      </c>
      <c r="BG53" s="635">
        <f ca="1">IFERROR((Tab_NewTRADER[[#This Row],[M]]-Tab_NewTRADER[[#This Row],[A]])/Tab_NewTRADER[[#This Row],[A]],0)</f>
        <v>3.9493491543433928E-2</v>
      </c>
      <c r="BH53" s="638" t="str">
        <f ca="1">TEXT(_xlfn.XLOOKUP(Tab_NewTRADER[[#This Row],[ClickTick]],TabCalc[Ticker],TabCalc[NAfter]),"#,#0")&amp;" : "&amp;TEXT(_xlfn.XLOOKUP(Tab_NewTRADER[[#This Row],[ClickTick]],TabCalc[Ticker],TabCalc[NAfter])*(Tab_NewTRADER[[#This Row],[M]]-Tab_NewTRADER[[#This Row],[A]])*(1-Commission)*Tab_NewTRADER[[#This Row],[Scale]],"#,#0$")</f>
        <v>500 : 2,224$</v>
      </c>
      <c r="BI53" s="684">
        <f ca="1">_xlfn.XLOOKUP(Tab_NewTRADER[[#This Row],[ClickTick]],TabCalc[[#This Row],[Ticker]],TabCalc[[#This Row],[GL]])*(1-Commission)</f>
        <v>10396.997340000005</v>
      </c>
      <c r="BJ53" s="684"/>
      <c r="BK53" s="669" t="str">
        <f ca="1">Tab_NewTRADER[[#This Row],[ClickTick]]&amp;": "&amp;_xlfn.XLOOKUP(Tab_NewTRADER[[#This Row],[ClickTick]],TabCalc[Ticker],TabCalc[Pile?])</f>
        <v xml:space="preserve">XOM: </v>
      </c>
      <c r="BL53" s="351" t="s">
        <v>1931</v>
      </c>
      <c r="BM53" s="755" t="str" cm="1">
        <f t="array" aca="1" ref="BM53" ca="1">_xlfn.TEXTJOIN("",,INDEX({"M","A","Y"}, _xlfn.SORTBY({1,2,3}, -CHOOSE({1,2,3}, Tab_NewTRADER[[#This Row],[M]], Tab_NewTRADER[[#This Row],[A]], Tab_NewTRADER[[#This Row],[Agiotage]]))))</f>
        <v>MAY</v>
      </c>
      <c r="BN53" s="909" cm="1">
        <f t="array" aca="1" ref="BN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8.518613169775476E-4</v>
      </c>
      <c r="BO53" s="679">
        <f ca="1">Tab_NewTRADER[[#This Row],[L_Sn]]*Tab_NewTRADER[[#This Row],[L_Sp]]+Tab_NewTRADER[[#This Row],[SellMore]]*Tab_NewTRADER[[#This Row],[M]]</f>
        <v>216744</v>
      </c>
      <c r="BP53" s="679">
        <f ca="1">INDEX(
  INDEX(TabConsolid[], , _xlfn.XMATCH(Tab_NewTRADER[[#This Row],[ClickTick]]&amp;1, TabConsolid[#Headers])),
  MATCH(
    -Tab_NewTRADER[[#This Row],[M]],
    INDEX(TabConsolid[], , _xlfn.XMATCH(Tab_NewTRADER[[#This Row],[ClickTick]]&amp;2, TabConsolid[#Headers])),
    -1
  )
)</f>
        <v>200</v>
      </c>
      <c r="BQ53" s="679" cm="1">
        <f t="array" aca="1" ref="BQ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R53" s="1156">
        <f ca="1">Tab_NewTRADER[[#This Row],[ReBuy]]/(Tab_NewTRADER[[#This Row],[L_Sn]]+Tab_NewTRADER[[#This Row],[SellMore]])</f>
        <v>108.372</v>
      </c>
      <c r="BS53" s="687">
        <f ca="1">((_xlfn.XLOOKUP(Tab_NewTRADER[[#This Row],[ClickTick]],TabCalc[Ticker],TabCalc[NAfter])+Tab_NewTRADER[[#This Row],[L_Sn]])*(Tab_NewTRADER[[#This Row],[Agiotage]]-Tab_NewTRADER[[#This Row],[M]]))/(Tab_NewTRADER[[#This Row],[L_Sn]]*_xlfn.XLOOKUP(Tab_NewTRADER[[#This Row],[ClickTick]],TabCalc[Ticker],TabCalc[NAfter]))</f>
        <v>-0.29791714282509263</v>
      </c>
      <c r="BT53" s="687">
        <f ca="1">(Tab_NewTRADER[[#This Row],[M]]-Tab_NewTRADER[[#This Row],[Agiotage]])/(Tab_NewTRADER[[#This Row],[M]]-Tab_NewTRADER[[#This Row],[A]])-1</f>
        <v>25.138177865332786</v>
      </c>
      <c r="BU53" s="1277">
        <f ca="1">_xlfn.XMATCH(Tab_NewTRADER[[#This Row],[ClickTick]]&amp;1, TabConsolid[#Headers])</f>
        <v>155</v>
      </c>
      <c r="BV53" t="str">
        <f ca="1">IF(ABS(Tab_NewTRADER[[#This Row],[L_Bp]])&gt;=Tab_NewTRADER[[#This Row],[M]],"OK")</f>
        <v>OK</v>
      </c>
    </row>
    <row r="54" spans="1:74"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-308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-0.9%</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-13,782$</v>
      </c>
      <c r="G54" s="225" t="str">
        <f ca="1">IFERROR(TRUNC(_xlfn.XLOOKUP(Tab_NewTRADER[[#This Row],[ClickTick]],TabCalc[Ticker],ListLastSalep),2)&amp;"x"&amp;_xlfn.XLOOKUP(Tab_NewTRADER[[#This Row],[ClickTick]],TabCalc[Ticker],ListLastSalen)&amp;"=   "&amp;TEXT(-_xlfn.XLOOKUP(Tab_NewTRADER[[#This Row],[ClickTick]],TabCalc[Ticker],ListReverseB),"#,#0")&amp;"$","")</f>
        <v>10.55x7200=   -28,451$</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59.9% = 1,265</v>
      </c>
      <c r="I54" s="226" t="str">
        <f ca="1">IFERROR(TRUNC(TabCalc[[#This Row],[L_S1p]],2)&amp;"x"&amp;TabCalc[[#This Row],[L_S1n]]&amp;"=   "&amp;TEXT(TabCalc[[#This Row],[ReverseB1]],"#,#0"),"")</f>
        <v>8.63x3000=   6,095</v>
      </c>
      <c r="J54" s="295">
        <f ca="1">_xlfn.XLOOKUP(Tab_NewTRADER[[#This Row],[ClickTick]],TabCalc[Ticker],ListGravity)</f>
        <v>1.7276653784951126</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60706.2</v>
      </c>
      <c r="M54" s="323">
        <f ca="1">_xlfn.XLOOKUP(Tab_NewTRADER[[#This Row],[ClickTick]],TabCalc[Ticker],TabCalc[Agiotage])</f>
        <v>0.78591379491869373</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-9.2342342342343169E-3</v>
      </c>
      <c r="S54" s="683">
        <f ca="1">_xlfn.XLOOKUP(Tab_NewTRADER[[#This Row],[ClickTick]],TabCalc[Ticker],TabCalc[Rev(MinStock)])*(1-Commission)</f>
        <v>-306.70050000000276</v>
      </c>
      <c r="T54" s="782">
        <f ca="1">_xlfn.XLOOKUP(Tab_NewTRADER[[#This Row],[ClickTick]],TabCalc[Ticker],TabCalc[Agiotage])</f>
        <v>0.78591379491869373</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-765/-765=&gt;-4.0% / -4.0%</v>
      </c>
      <c r="V54" s="739" t="str">
        <f ca="1">_xlfn.XLOOKUP(Tab_NewTRADER[[#This Row],[ClickTick]],[1]!RTData[Ticker_Symbol],[1]!RTData[Currency])</f>
        <v>USD</v>
      </c>
      <c r="W54" s="749">
        <f ca="1">_xlfn.XLOOKUP(Tab_NewTRADER[[#This Row],[ClickTick]],TabCalc[Ticker],TabCalc[M])</f>
        <v>6.5984999999999996</v>
      </c>
      <c r="X54" s="1343"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-57/66 K$</v>
      </c>
      <c r="AE54" s="1195" t="str" cm="1">
        <f t="array" aca="1" ref="AE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4" s="1176" t="str" cm="1">
        <f t="array" aca="1" ref="AF54" ca="1">_xlfn.IFS(       Tab_NewTRADER[[#This Row],[Trap_vs_Last]]=RePurchaseGain,TEXT(Tab_NewTRADER[[#This Row],[L_Sn]],"#,#0")&amp;" x "&amp;TEXT(Tab_NewTRADER[[#This Row],[L_Sp]],"#,#0.#0"),     Tab_NewTRADER[[#This Row],[Trap_vs_Last]]=ReSaleGain,Tab_NewTRADER[[#This Row],[ToSell]],               TRUE,"")</f>
        <v/>
      </c>
      <c r="AG54" s="1177" t="str" cm="1">
        <f t="array" aca="1" ref="AG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H54" s="1370" t="str">
        <f ca="1">TEXT(MIN(Tab_NewTRADER[[#This Row],[L_Bn]],Tab_NewTRADER[[#This Row],[N]]),"#,#0")&amp;" x "&amp;TEXT(Tab_NewTRADER[[#This Row],[L_Bp]],"#,#0.#0")</f>
        <v>5,000 x -6.66</v>
      </c>
      <c r="AI54" s="1370">
        <f ca="1">IF(Tab_NewTRADER[[#This Row],[M]]&lt;_xlfn.XLOOKUP(Tab_NewTRADER[[#This Row],[ClickTick]],TabCalc[Ticker],TabCalc[Max_Buy_P]), 0,Tab_NewTRADER[[#This Row],[Sale_Back_$]])</f>
        <v>0</v>
      </c>
      <c r="AJ54" s="1370" t="str">
        <f ca="1">TEXT(Tab_NewTRADER[[#This Row],[L_Sn]],"#,#0")&amp;" ("&amp;Tab_NewTRADER[[#This Row],[M]]&amp;"/"&amp;TEXT(Tab_NewTRADER[[#This Row],[L_Sp]],"#,#0.#0)")</f>
        <v>7,200 (6.5985/10.55)</v>
      </c>
      <c r="AK54" s="1370">
        <f ca="1">IF(Tab_NewTRADER[[#This Row],[M]]&lt;_xlfn.XLOOKUP(Tab_NewTRADER[[#This Row],[ClickTick]],TabCalc[Ticker],TabCalc[Max_Buy_P]), -Tab_NewTRADER[[#This Row],[Buy_Back]], 0)</f>
        <v>28376.827920000007</v>
      </c>
      <c r="AL54" s="1177" cm="1">
        <f t="array" aca="1" ref="AL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306.70050000000276</v>
      </c>
      <c r="AM54" s="1177">
        <f ca="1">Tab_NewTRADER[[#This Row],[N]]*(Tab_NewTRADER[[#This Row],[M]]-Tab_NewTRADER[[#This Row],[A]])*(1-Commission)*Tab_NewTRADER[[#This Row],[Scale]]</f>
        <v>-16639.624200000002</v>
      </c>
      <c r="AN54" s="1177">
        <f ca="1">Tab_NewTRADER[[#This Row],[M]]*Tab_NewTRADER[[#This Row],[N]]*(1-Commission)*Tab_NewTRADER[[#This Row],[Scale]]</f>
        <v>65813.438999999998</v>
      </c>
      <c r="AO54" s="1186" cm="1">
        <f t="array" aca="1" ref="AO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0.20180722891566269</v>
      </c>
      <c r="AP54" s="1186" cm="1">
        <f t="array" aca="1" ref="AP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6.7203000681974028E-3</v>
      </c>
      <c r="AQ54" s="825" t="str" cm="1">
        <f t="array" aca="1" ref="AQ54" ca="1">_xlfn.IFS(   Tab_NewTRADER[[#This Row],[Trap_vs_Last]]=SellMorePercentGain,                     MIN(Tab_NewTRADER[[#This Row],[L_Sn]],Tab_NewTRADER[[#This Row],[N]])*(Tab_NewTRADER[[#This Row],[M]]-Tab_NewTRADER[[#This Row],[L_Sp]])*(1-Commission)*Tab_NewTRADER[[#This Row],[Scale]],                    TRUE,"")</f>
        <v/>
      </c>
      <c r="AR54" s="1175">
        <f ca="1">_xlfn.XLOOKUP(Tab_NewTRADER[[#This Row],[ClickTick]],TabCalc[Ticker],TabCalc[Ann%RevLB])</f>
        <v>-0.11463187325256392</v>
      </c>
      <c r="AS54" s="1282">
        <f ca="1">_xlfn.XLOOKUP(Tab_NewTRADER[[#This Row],[ClickTick]],TabCalc[Ticker],TabCalc[Up20])</f>
        <v>0</v>
      </c>
      <c r="AT54" s="310" cm="1">
        <f t="array" aca="1" ref="AT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9.3203000681974027E-3</v>
      </c>
      <c r="AU54" s="825" cm="1">
        <f t="array" aca="1" ref="AU54" ca="1">_xlfn.IFS(         Tab_NewTRADER[[#This Row],[Trap_vs_Last]]=MDown,Tab_NewTRADER[[#This Row],[L_Bn]]*Tab_NewTRADER[[#This Row],[M]]*(-(Tab_NewTRADER[[#This Row],[L_Bp]]+Tab_NewTRADER[[#This Row],[M]])/Tab_NewTRADER[[#This Row],[M]])*(1-Commission)*Tab_NewTRADER[[#This Row],[Scale]],                               TRUE,"")</f>
        <v>306.70050000000276</v>
      </c>
      <c r="AV54" s="1186" cm="1">
        <f t="array" aca="1" ref="AV54" ca="1">_xlfn.IFS(   Tab_NewTRADER[[#This Row],[Trap_vs_Last]]=MUp,Tab_NewTRADER[[#This Row],[TakeGain_A]]-Commission,        Tab_NewTRADER[[#This Row],[Trap_vs_Last]]=MDown,(Tab_NewTRADER[[#This Row],[A]]-Tab_NewTRADER[[#This Row],[M]])/Tab_NewTRADER[[#This Row],[M]]-Commission,                              TRUE,"")</f>
        <v>0.25023018867924535</v>
      </c>
      <c r="AW54" s="825" cm="1">
        <f t="array" aca="1" ref="AW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16639.624200000002</v>
      </c>
      <c r="AX54" s="760" t="str" cm="1">
        <f t="array" aca="1" ref="AX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54" s="736" cm="1">
        <f t="array" aca="1" ref="AY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-0.06</v>
      </c>
      <c r="AZ54" s="765" cm="1">
        <f t="array" aca="1" ref="AZ54" ca="1">_xlfn.IFS(Tab_NewTRADER[[#This Row],[Trap_vs_Last]]=ReSaleGain,"",         Tab_NewTRADER[[#This Row],[Trap_vs_Last]]=MDown, (Tab_NewTRADER[[#This Row],[M]]-Tab_NewTRADER[[#This Row],[A]])/Tab_NewTRADER[[#This Row],[A]]*ComFactor,             TRUE, IFERROR((Tab_NewTRADER[[#This Row],[M]]-Tab_NewTRADER[[#This Row],[A]])/Tab_NewTRADER[[#This Row],[A]]*ComFactor,""))</f>
        <v>-0.20128253012048195</v>
      </c>
      <c r="BA54" s="762" cm="1">
        <f t="array" aca="1" ref="BA54" ca="1">_xlfn.IFS(               Tab_NewTRADER[[#This Row],[Trap_vs_Last]]=NoStock,(Tab_NewTRADER[[#This Row],[L_Sp]]-Tab_NewTRADER[[#This Row],[M]])/Tab_NewTRADER[[#This Row],[M]]-Commission,             Tab_NewTRADER[[#This Row],[A]]&lt;&gt;0,(Tab_NewTRADER[[#This Row],[A]]-Tab_NewTRADER[[#This Row],[M]])/Tab_NewTRADER[[#This Row],[M]]-Commission)</f>
        <v>0.25023018867924535</v>
      </c>
      <c r="BB54" s="324">
        <f ca="1">_xlfn.XLOOKUP(Tab_NewTRADER[[#This Row],[ClickTick]],TabCalc[Ticker],TabCalc[L_Sn])</f>
        <v>7200</v>
      </c>
      <c r="BC54" s="728">
        <f ca="1">_xlfn.XLOOKUP(Tab_NewTRADER[[#This Row],[ClickTick]],TabCalc[Ticker],TabCalc[L_Sp])</f>
        <v>10.55</v>
      </c>
      <c r="BD54" s="764">
        <f ca="1">-IFERROR((Tab_NewTRADER[[#This Row],[M]]-Tab_NewTRADER[[#This Row],[L_Sp]])/Tab_NewTRADER[[#This Row],[L_Sp]],0)</f>
        <v>0.37454976303317544</v>
      </c>
      <c r="BE54" s="729">
        <f ca="1">MIN(Tab_NewTRADER[[#This Row],[L_Sn]],Tab_NewTRADER[[#This Row],[N]])*(Tab_NewTRADER[[#This Row],[M]]-Tab_NewTRADER[[#This Row],[L_Sp]])*(1-Commission)*Tab_NewTRADER[[#This Row],[Scale]]</f>
        <v>-28376.827920000007</v>
      </c>
      <c r="BF54" s="692">
        <f ca="1">Tab_NewTRADER[[#This Row],[L_Sn]]*(Tab_NewTRADER[[#This Row],[Agiotage]]-Tab_NewTRADER[[#This Row],[M]])/(Tab_NewTRADER[[#This Row],[L_Bn]]*Tab_NewTRADER[[#This Row],[M]])</f>
        <v>-1.268488919499444</v>
      </c>
      <c r="BG54" s="635">
        <f ca="1">IFERROR((Tab_NewTRADER[[#This Row],[M]]-Tab_NewTRADER[[#This Row],[A]])/Tab_NewTRADER[[#This Row],[A]],0)</f>
        <v>-0.20180722891566269</v>
      </c>
      <c r="BH54" s="638" t="str">
        <f ca="1">TEXT(_xlfn.XLOOKUP(Tab_NewTRADER[[#This Row],[ClickTick]],TabCalc[Ticker],TabCalc[NAfter]),"#,#0")&amp;" : "&amp;TEXT(_xlfn.XLOOKUP(Tab_NewTRADER[[#This Row],[ClickTick]],TabCalc[Ticker],TabCalc[NAfter])*(Tab_NewTRADER[[#This Row],[M]]-Tab_NewTRADER[[#This Row],[A]])*(1-Commission)*Tab_NewTRADER[[#This Row],[Scale]],"#,#0$")</f>
        <v>10,000 : -16,640$</v>
      </c>
      <c r="BI54" s="684">
        <f ca="1">_xlfn.XLOOKUP(Tab_NewTRADER[[#This Row],[ClickTick]],TabCalc[[#This Row],[Ticker]],TabCalc[[#This Row],[GL]])*(1-Commission)</f>
        <v>-56358.715361999988</v>
      </c>
      <c r="BJ54" s="684"/>
      <c r="BK54" s="669" t="str">
        <f ca="1">Tab_NewTRADER[[#This Row],[ClickTick]]&amp;": "&amp;_xlfn.XLOOKUP(Tab_NewTRADER[[#This Row],[ClickTick]],TabCalc[Ticker],TabCalc[Pile?])</f>
        <v>XPER: Pile</v>
      </c>
      <c r="BL54" s="351" t="s">
        <v>1932</v>
      </c>
      <c r="BM54" s="755" t="str" cm="1">
        <f t="array" aca="1" ref="BM54" ca="1">_xlfn.TEXTJOIN("",,INDEX({"M","A","Y"}, _xlfn.SORTBY({1,2,3}, -CHOOSE({1,2,3}, Tab_NewTRADER[[#This Row],[M]], Tab_NewTRADER[[#This Row],[A]], Tab_NewTRADER[[#This Row],[Agiotage]]))))</f>
        <v>AMY</v>
      </c>
      <c r="BN54" s="909" cm="1">
        <f t="array" aca="1" ref="BN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9.3203000681974027E-3</v>
      </c>
      <c r="BO54" s="679" t="e">
        <f ca="1">Tab_NewTRADER[[#This Row],[L_Sn]]*Tab_NewTRADER[[#This Row],[L_Sp]]+Tab_NewTRADER[[#This Row],[SellMore]]*Tab_NewTRADER[[#This Row],[M]]</f>
        <v>#N/A</v>
      </c>
      <c r="BP54" s="679" t="e">
        <f ca="1">INDEX(
  INDEX(TabConsolid[], , _xlfn.XMATCH(Tab_NewTRADER[[#This Row],[ClickTick]]&amp;1, TabConsolid[#Headers])),
  MATCH(
    -Tab_NewTRADER[[#This Row],[M]],
    INDEX(TabConsolid[], , _xlfn.XMATCH(Tab_NewTRADER[[#This Row],[ClickTick]]&amp;2, TabConsolid[#Headers])),
    -1
  )
)</f>
        <v>#N/A</v>
      </c>
      <c r="BQ54" s="679" cm="1">
        <f t="array" aca="1" ref="BQ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R54" s="1156" t="e">
        <f ca="1">Tab_NewTRADER[[#This Row],[ReBuy]]/(Tab_NewTRADER[[#This Row],[L_Sn]]+Tab_NewTRADER[[#This Row],[SellMore]])</f>
        <v>#N/A</v>
      </c>
      <c r="BS54" s="687">
        <f ca="1">((_xlfn.XLOOKUP(Tab_NewTRADER[[#This Row],[ClickTick]],TabCalc[Ticker],TabCalc[NAfter])+Tab_NewTRADER[[#This Row],[L_Sn]])*(Tab_NewTRADER[[#This Row],[Agiotage]]-Tab_NewTRADER[[#This Row],[M]]))/(Tab_NewTRADER[[#This Row],[L_Sn]]*_xlfn.XLOOKUP(Tab_NewTRADER[[#This Row],[ClickTick]],TabCalc[Ticker],TabCalc[NAfter]))</f>
        <v>-1.3885622601027565E-3</v>
      </c>
      <c r="BT54" s="687">
        <f ca="1">(Tab_NewTRADER[[#This Row],[M]]-Tab_NewTRADER[[#This Row],[Agiotage]])/(Tab_NewTRADER[[#This Row],[M]]-Tab_NewTRADER[[#This Row],[A]])-1</f>
        <v>-4.484137268525628</v>
      </c>
      <c r="BU54" s="1277">
        <f ca="1">_xlfn.XMATCH(Tab_NewTRADER[[#This Row],[ClickTick]]&amp;1, TabConsolid[#Headers])</f>
        <v>158</v>
      </c>
      <c r="BV54" t="str">
        <f ca="1">IF(ABS(Tab_NewTRADER[[#This Row],[L_Bp]])&gt;=Tab_NewTRADER[[#This Row],[M]],"OK")</f>
        <v>OK</v>
      </c>
    </row>
    <row r="55" spans="1:74"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-3,566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-22.9%</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-4,600$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1.9658076923076924</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85775.82</v>
      </c>
      <c r="M55" s="323">
        <f ca="1">_xlfn.XLOOKUP(Tab_NewTRADER[[#This Row],[ClickTick]],TabCalc[Ticker],TabCalc[Agiotage])</f>
        <v>0.32673879443585779</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-0.18604717900126946</v>
      </c>
      <c r="S55" s="683">
        <f ca="1">_xlfn.XLOOKUP(Tab_NewTRADER[[#This Row],[ClickTick]],TabCalc[Ticker],TabCalc[Rev(MinStock)])*(1-Commission)</f>
        <v>-3556.4591020000003</v>
      </c>
      <c r="T55" s="782">
        <f ca="1">_xlfn.XLOOKUP(Tab_NewTRADER[[#This Row],[ClickTick]],TabCalc[Ticker],TabCalc[Agiotage])</f>
        <v>0.32673879443585779</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55" s="739" t="str">
        <f ca="1">_xlfn.XLOOKUP(Tab_NewTRADER[[#This Row],[ClickTick]],[1]!RTData[Ticker_Symbol],[1]!RTData[Currency])</f>
        <v>EUR</v>
      </c>
      <c r="W55" s="749">
        <f ca="1">_xlfn.XLOOKUP(Tab_NewTRADER[[#This Row],[ClickTick]],TabCalc[Ticker],TabCalc[M])</f>
        <v>0.78</v>
      </c>
      <c r="X55" s="1343"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-245/394 K$</v>
      </c>
      <c r="AE55" s="1195" t="str" cm="1">
        <f t="array" aca="1" ref="AE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5" s="1176" t="str" cm="1">
        <f t="array" aca="1" ref="AF55" ca="1">_xlfn.IFS(       Tab_NewTRADER[[#This Row],[Trap_vs_Last]]=RePurchaseGain,TEXT(Tab_NewTRADER[[#This Row],[L_Sn]],"#,#0")&amp;" x "&amp;TEXT(Tab_NewTRADER[[#This Row],[L_Sp]],"#,#0.#0"),     Tab_NewTRADER[[#This Row],[Trap_vs_Last]]=ReSaleGain,Tab_NewTRADER[[#This Row],[ToSell]],               TRUE,"")</f>
        <v/>
      </c>
      <c r="AG55" s="1177" t="str" cm="1">
        <f t="array" aca="1" ref="AG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H55" s="1370" t="str">
        <f ca="1">TEXT(MIN(Tab_NewTRADER[[#This Row],[L_Bn]],Tab_NewTRADER[[#This Row],[N]]),"#,#0")&amp;" x "&amp;TEXT(Tab_NewTRADER[[#This Row],[L_Bp]],"#,#0.#0")</f>
        <v>20,000 x -0.96</v>
      </c>
      <c r="AI55" s="1370">
        <f ca="1">IF(Tab_NewTRADER[[#This Row],[M]]&lt;_xlfn.XLOOKUP(Tab_NewTRADER[[#This Row],[ClickTick]],TabCalc[Ticker],TabCalc[Max_Buy_P]), 0,Tab_NewTRADER[[#This Row],[Sale_Back_$]])</f>
        <v>0</v>
      </c>
      <c r="AJ55" s="1370" t="str">
        <f ca="1">TEXT(Tab_NewTRADER[[#This Row],[L_Sn]],"#,#0")&amp;" ("&amp;Tab_NewTRADER[[#This Row],[M]]&amp;"/"&amp;TEXT(Tab_NewTRADER[[#This Row],[L_Sp]],"#,#0.#0)")</f>
        <v>0 (0.78/0.0)</v>
      </c>
      <c r="AK55" s="1370">
        <f ca="1">IF(Tab_NewTRADER[[#This Row],[M]]&lt;_xlfn.XLOOKUP(Tab_NewTRADER[[#This Row],[ClickTick]],TabCalc[Ticker],TabCalc[Max_Buy_P]), -Tab_NewTRADER[[#This Row],[Buy_Back]], 0)</f>
        <v>0</v>
      </c>
      <c r="AL55" s="1177" cm="1">
        <f t="array" aca="1" ref="AL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3556.4591020000003</v>
      </c>
      <c r="AM55" s="1177">
        <f ca="1">Tab_NewTRADER[[#This Row],[N]]*(Tab_NewTRADER[[#This Row],[M]]-Tab_NewTRADER[[#This Row],[A]])*(1-Commission)*Tab_NewTRADER[[#This Row],[Scale]]</f>
        <v>-243889.03260160759</v>
      </c>
      <c r="AN55" s="1177">
        <f ca="1">Tab_NewTRADER[[#This Row],[M]]*Tab_NewTRADER[[#This Row],[N]]*(1-Commission)*Tab_NewTRADER[[#This Row],[Scale]]</f>
        <v>392875.86</v>
      </c>
      <c r="AO55" s="1186" cm="1">
        <f t="array" aca="1" ref="AO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0.38301268715547254</v>
      </c>
      <c r="AP55" s="1186" cm="1">
        <f t="array" aca="1" ref="AP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0.22597243589743593</v>
      </c>
      <c r="AQ55" s="825" t="str" cm="1">
        <f t="array" aca="1" ref="AQ55" ca="1">_xlfn.IFS(   Tab_NewTRADER[[#This Row],[Trap_vs_Last]]=SellMorePercentGain,                     MIN(Tab_NewTRADER[[#This Row],[L_Sn]],Tab_NewTRADER[[#This Row],[N]])*(Tab_NewTRADER[[#This Row],[M]]-Tab_NewTRADER[[#This Row],[L_Sp]])*(1-Commission)*Tab_NewTRADER[[#This Row],[Scale]],                    TRUE,"")</f>
        <v/>
      </c>
      <c r="AR55" s="1175">
        <f ca="1">_xlfn.XLOOKUP(Tab_NewTRADER[[#This Row],[ClickTick]],TabCalc[Ticker],TabCalc[Ann%RevLB])</f>
        <v>-0.63185834377789629</v>
      </c>
      <c r="AS55" s="1282">
        <f ca="1">_xlfn.XLOOKUP(Tab_NewTRADER[[#This Row],[ClickTick]],TabCalc[Ticker],TabCalc[Up20])</f>
        <v>0</v>
      </c>
      <c r="AT55" s="310" cm="1">
        <f t="array" aca="1" ref="AT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0.22857243589743592</v>
      </c>
      <c r="AU55" s="825" cm="1">
        <f t="array" aca="1" ref="AU55" ca="1">_xlfn.IFS(         Tab_NewTRADER[[#This Row],[Trap_vs_Last]]=MDown,Tab_NewTRADER[[#This Row],[L_Bn]]*Tab_NewTRADER[[#This Row],[M]]*(-(Tab_NewTRADER[[#This Row],[L_Bp]]+Tab_NewTRADER[[#This Row],[M]])/Tab_NewTRADER[[#This Row],[M]])*(1-Commission)*Tab_NewTRADER[[#This Row],[Scale]],                               TRUE,"")</f>
        <v>3556.4591020000003</v>
      </c>
      <c r="AV55" s="1186" cm="1">
        <f t="array" aca="1" ref="AV55" ca="1">_xlfn.IFS(   Tab_NewTRADER[[#This Row],[Trap_vs_Last]]=MUp,Tab_NewTRADER[[#This Row],[TakeGain_A]]-Commission,        Tab_NewTRADER[[#This Row],[Trap_vs_Last]]=MDown,(Tab_NewTRADER[[#This Row],[A]]-Tab_NewTRADER[[#This Row],[M]])/Tab_NewTRADER[[#This Row],[M]]-Commission,                              TRUE,"")</f>
        <v>0.61817887045950748</v>
      </c>
      <c r="AW55" s="825" cm="1">
        <f t="array" aca="1" ref="AW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243889.03260160759</v>
      </c>
      <c r="AX55" s="760" t="str" cm="1">
        <f t="array" aca="1" ref="AX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55" s="736" cm="1">
        <f t="array" aca="1" ref="AY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-0.17</v>
      </c>
      <c r="AZ55" s="765" cm="1">
        <f t="array" aca="1" ref="AZ55" ca="1">_xlfn.IFS(Tab_NewTRADER[[#This Row],[Trap_vs_Last]]=ReSaleGain,"",         Tab_NewTRADER[[#This Row],[Trap_vs_Last]]=MDown, (Tab_NewTRADER[[#This Row],[M]]-Tab_NewTRADER[[#This Row],[A]])/Tab_NewTRADER[[#This Row],[A]]*ComFactor,             TRUE, IFERROR((Tab_NewTRADER[[#This Row],[M]]-Tab_NewTRADER[[#This Row],[A]])/Tab_NewTRADER[[#This Row],[A]]*ComFactor,""))</f>
        <v>-0.38201685416886827</v>
      </c>
      <c r="BA55" s="762" cm="1">
        <f t="array" aca="1" ref="BA55" ca="1">_xlfn.IFS(               Tab_NewTRADER[[#This Row],[Trap_vs_Last]]=NoStock,(Tab_NewTRADER[[#This Row],[L_Sp]]-Tab_NewTRADER[[#This Row],[M]])/Tab_NewTRADER[[#This Row],[M]]-Commission,             Tab_NewTRADER[[#This Row],[A]]&lt;&gt;0,(Tab_NewTRADER[[#This Row],[A]]-Tab_NewTRADER[[#This Row],[M]])/Tab_NewTRADER[[#This Row],[M]]-Commission)</f>
        <v>0.61817887045950748</v>
      </c>
      <c r="BB55" s="324">
        <f ca="1">_xlfn.XLOOKUP(Tab_NewTRADER[[#This Row],[ClickTick]],TabCalc[Ticker],TabCalc[L_Sn])</f>
        <v>0</v>
      </c>
      <c r="BC55" s="728">
        <f ca="1">_xlfn.XLOOKUP(Tab_NewTRADER[[#This Row],[ClickTick]],TabCalc[Ticker],TabCalc[L_Sp])</f>
        <v>0</v>
      </c>
      <c r="BD55" s="764">
        <f ca="1">-IFERROR((Tab_NewTRADER[[#This Row],[M]]-Tab_NewTRADER[[#This Row],[L_Sp]])/Tab_NewTRADER[[#This Row],[L_Sp]],0)</f>
        <v>0</v>
      </c>
      <c r="BE55" s="729">
        <f ca="1">MIN(Tab_NewTRADER[[#This Row],[L_Sn]],Tab_NewTRADER[[#This Row],[N]])*(Tab_NewTRADER[[#This Row],[M]]-Tab_NewTRADER[[#This Row],[L_Sp]])*(1-Commission)*Tab_NewTRADER[[#This Row],[Scale]]</f>
        <v>0</v>
      </c>
      <c r="BF55" s="692">
        <f ca="1">Tab_NewTRADER[[#This Row],[L_Sn]]*(Tab_NewTRADER[[#This Row],[Agiotage]]-Tab_NewTRADER[[#This Row],[M]])/(Tab_NewTRADER[[#This Row],[L_Bn]]*Tab_NewTRADER[[#This Row],[M]])</f>
        <v>0</v>
      </c>
      <c r="BG55" s="635">
        <f ca="1">IFERROR((Tab_NewTRADER[[#This Row],[M]]-Tab_NewTRADER[[#This Row],[A]])/Tab_NewTRADER[[#This Row],[A]],0)</f>
        <v>-0.38301268715547254</v>
      </c>
      <c r="BH55" s="638" t="str">
        <f ca="1">TEXT(_xlfn.XLOOKUP(Tab_NewTRADER[[#This Row],[ClickTick]],TabCalc[Ticker],TabCalc[NAfter]),"#,#0")&amp;" : "&amp;TEXT(_xlfn.XLOOKUP(Tab_NewTRADER[[#This Row],[ClickTick]],TabCalc[Ticker],TabCalc[NAfter])*(Tab_NewTRADER[[#This Row],[M]]-Tab_NewTRADER[[#This Row],[A]])*(1-Commission)*Tab_NewTRADER[[#This Row],[Scale]],"#,#0$")</f>
        <v>505,000 : -243,889$</v>
      </c>
      <c r="BI55" s="684">
        <f ca="1">_xlfn.XLOOKUP(Tab_NewTRADER[[#This Row],[ClickTick]],TabCalc[[#This Row],[Ticker]],TabCalc[[#This Row],[GL]])*(1-Commission)</f>
        <v>-243889.03260160759</v>
      </c>
      <c r="BJ55" s="684"/>
      <c r="BK55" s="669" t="str">
        <f ca="1">Tab_NewTRADER[[#This Row],[ClickTick]]&amp;": "&amp;_xlfn.XLOOKUP(Tab_NewTRADER[[#This Row],[ClickTick]],TabCalc[Ticker],TabCalc[Pile?])</f>
        <v>MVEALDNE: Pile</v>
      </c>
      <c r="BL55" s="351" t="s">
        <v>1933</v>
      </c>
      <c r="BM55" s="755" t="str" cm="1">
        <f t="array" aca="1" ref="BM55" ca="1">_xlfn.TEXTJOIN("",,INDEX({"M","A","Y"}, _xlfn.SORTBY({1,2,3}, -CHOOSE({1,2,3}, Tab_NewTRADER[[#This Row],[M]], Tab_NewTRADER[[#This Row],[A]], Tab_NewTRADER[[#This Row],[Agiotage]]))))</f>
        <v>AMY</v>
      </c>
      <c r="BN55" s="909" cm="1">
        <f t="array" aca="1" ref="BN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0.22857243589743592</v>
      </c>
      <c r="BO55" s="679" t="e">
        <f ca="1">Tab_NewTRADER[[#This Row],[L_Sn]]*Tab_NewTRADER[[#This Row],[L_Sp]]+Tab_NewTRADER[[#This Row],[SellMore]]*Tab_NewTRADER[[#This Row],[M]]</f>
        <v>#N/A</v>
      </c>
      <c r="BP55" s="679" t="e">
        <f ca="1">INDEX(
  INDEX(TabConsolid[], , _xlfn.XMATCH(Tab_NewTRADER[[#This Row],[ClickTick]]&amp;1, TabConsolid[#Headers])),
  MATCH(
    -Tab_NewTRADER[[#This Row],[M]],
    INDEX(TabConsolid[], , _xlfn.XMATCH(Tab_NewTRADER[[#This Row],[ClickTick]]&amp;2, TabConsolid[#Headers])),
    -1
  )
)</f>
        <v>#N/A</v>
      </c>
      <c r="BQ55" s="679" cm="1">
        <f t="array" aca="1" ref="BQ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55" s="1156" t="e">
        <f ca="1">Tab_NewTRADER[[#This Row],[ReBuy]]/(Tab_NewTRADER[[#This Row],[L_Sn]]+Tab_NewTRADER[[#This Row],[SellMore]])</f>
        <v>#N/A</v>
      </c>
      <c r="BS55" s="687" t="e">
        <f ca="1">((_xlfn.XLOOKUP(Tab_NewTRADER[[#This Row],[ClickTick]],TabCalc[Ticker],TabCalc[NAfter])+Tab_NewTRADER[[#This Row],[L_Sn]])*(Tab_NewTRADER[[#This Row],[Agiotage]]-Tab_NewTRADER[[#This Row],[M]]))/(Tab_NewTRADER[[#This Row],[L_Sn]]*_xlfn.XLOOKUP(Tab_NewTRADER[[#This Row],[ClickTick]],TabCalc[Ticker],TabCalc[NAfter]))</f>
        <v>#DIV/0!</v>
      </c>
      <c r="BT55" s="687">
        <f ca="1">(Tab_NewTRADER[[#This Row],[M]]-Tab_NewTRADER[[#This Row],[Agiotage]])/(Tab_NewTRADER[[#This Row],[M]]-Tab_NewTRADER[[#This Row],[A]])-1</f>
        <v>-1.9360887384383403</v>
      </c>
      <c r="BU55" s="1277">
        <f ca="1">_xlfn.XMATCH(Tab_NewTRADER[[#This Row],[ClickTick]]&amp;1, TabConsolid[#Headers])</f>
        <v>161</v>
      </c>
      <c r="BV55" t="str">
        <f ca="1">IF(ABS(Tab_NewTRADER[[#This Row],[L_Bp]])&gt;=Tab_NewTRADER[[#This Row],[M]],"OK")</f>
        <v>OK</v>
      </c>
    </row>
    <row r="56" spans="1:74"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-2,250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-10.1%</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-4,920$</v>
      </c>
      <c r="G56" s="225" t="str">
        <f ca="1">IFERROR(TRUNC(_xlfn.XLOOKUP(Tab_NewTRADER[[#This Row],[ClickTick]],TabCalc[Ticker],ListLastSalep),2)&amp;"x"&amp;_xlfn.XLOOKUP(Tab_NewTRADER[[#This Row],[ClickTick]],TabCalc[Ticker],ListLastSalen)&amp;"=   "&amp;TEXT(-_xlfn.XLOOKUP(Tab_NewTRADER[[#This Row],[ClickTick]],TabCalc[Ticker],ListReverseB),"#,#0")&amp;"$","")</f>
        <v>3.52x5000=   -6,475$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58.2% = 3,861</v>
      </c>
      <c r="I56" s="226" t="str">
        <f ca="1">IFERROR(TRUNC(TabCalc[[#This Row],[L_S1p]],2)&amp;"x"&amp;TabCalc[[#This Row],[L_S1n]]&amp;"=   "&amp;TEXT(TabCalc[[#This Row],[ReverseB1]],"#,#0"),"")</f>
        <v>3.96x5000=   8,676</v>
      </c>
      <c r="J56" s="295">
        <f ca="1">_xlfn.XLOOKUP(Tab_NewTRADER[[#This Row],[ClickTick]],TabCalc[Ticker],ListGravity)</f>
        <v>1.4606741573033708</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0.54788075577674089</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-9.1836734693877584E-2</v>
      </c>
      <c r="S56" s="683">
        <f ca="1">_xlfn.XLOOKUP(Tab_NewTRADER[[#This Row],[ClickTick]],TabCalc[Ticker],TabCalc[Rev(MinStock)])*(1-Commission)</f>
        <v>-2244.150000000001</v>
      </c>
      <c r="T56" s="782">
        <f ca="1">_xlfn.XLOOKUP(Tab_NewTRADER[[#This Row],[ClickTick]],TabCalc[Ticker],TabCalc[Agiotage])</f>
        <v>0.54788075577674089</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50/50=&gt;-1.1% / -1.1%</v>
      </c>
      <c r="V56" s="739" t="str">
        <f ca="1">_xlfn.XLOOKUP(Tab_NewTRADER[[#This Row],[ClickTick]],[1]!RTData[Ticker_Symbol],[1]!RTData[Currency])</f>
        <v>USD</v>
      </c>
      <c r="W56" s="749">
        <f ca="1">_xlfn.XLOOKUP(Tab_NewTRADER[[#This Row],[ClickTick]],TabCalc[Ticker],TabCalc[M])</f>
        <v>2.2250000000000001</v>
      </c>
      <c r="X56" s="1343"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E56" s="1195" t="str" cm="1">
        <f t="array" aca="1" ref="AE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56" s="1176" t="str" cm="1">
        <f t="array" aca="1" ref="AF56" ca="1">_xlfn.IFS(       Tab_NewTRADER[[#This Row],[Trap_vs_Last]]=RePurchaseGain,TEXT(Tab_NewTRADER[[#This Row],[L_Sn]],"#,#0")&amp;" x "&amp;TEXT(Tab_NewTRADER[[#This Row],[L_Sp]],"#,#0.#0"),     Tab_NewTRADER[[#This Row],[Trap_vs_Last]]=ReSaleGain,Tab_NewTRADER[[#This Row],[ToSell]],               TRUE,"")</f>
        <v>5,000 x 3.52</v>
      </c>
      <c r="AG56" s="1177" cm="1">
        <f t="array" aca="1" ref="AG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6458.165</v>
      </c>
      <c r="AH56" s="1370" t="str">
        <f ca="1">TEXT(MIN(Tab_NewTRADER[[#This Row],[L_Bn]],Tab_NewTRADER[[#This Row],[N]]),"#,#0")&amp;" x "&amp;TEXT(Tab_NewTRADER[[#This Row],[L_Bp]],"#,#0.#0")</f>
        <v>10,000 x -2.45</v>
      </c>
      <c r="AI56" s="1370">
        <f ca="1">IF(Tab_NewTRADER[[#This Row],[M]]&lt;_xlfn.XLOOKUP(Tab_NewTRADER[[#This Row],[ClickTick]],TabCalc[Ticker],TabCalc[Max_Buy_P]), 0,Tab_NewTRADER[[#This Row],[Sale_Back_$]])</f>
        <v>0</v>
      </c>
      <c r="AJ56" s="1370" t="str">
        <f ca="1">TEXT(Tab_NewTRADER[[#This Row],[L_Sn]],"#,#0")&amp;" ("&amp;Tab_NewTRADER[[#This Row],[M]]&amp;"/"&amp;TEXT(Tab_NewTRADER[[#This Row],[L_Sp]],"#,#0.#0)")</f>
        <v>5,000 (2.225/3.52)</v>
      </c>
      <c r="AK56" s="1370">
        <f ca="1">IF(Tab_NewTRADER[[#This Row],[M]]&lt;_xlfn.XLOOKUP(Tab_NewTRADER[[#This Row],[ClickTick]],TabCalc[Ticker],TabCalc[Max_Buy_P]), -Tab_NewTRADER[[#This Row],[Buy_Back]], 0)</f>
        <v>6458.165</v>
      </c>
      <c r="AL56" s="1177" t="str" cm="1">
        <f t="array" aca="1" ref="AL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6" s="1177">
        <f ca="1">Tab_NewTRADER[[#This Row],[N]]*(Tab_NewTRADER[[#This Row],[M]]-Tab_NewTRADER[[#This Row],[A]])*(1-Commission)*Tab_NewTRADER[[#This Row],[Scale]]</f>
        <v>-2244.150000000001</v>
      </c>
      <c r="AN56" s="1177">
        <f ca="1">Tab_NewTRADER[[#This Row],[M]]*Tab_NewTRADER[[#This Row],[N]]*(1-Commission)*Tab_NewTRADER[[#This Row],[Scale]]</f>
        <v>22192.149999999998</v>
      </c>
      <c r="AO56" s="1186" cm="1">
        <f t="array" aca="1" ref="AO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0.36789772727272724</v>
      </c>
      <c r="AP56" s="1186" t="str" cm="1">
        <f t="array" aca="1" ref="AP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Tab_NewTRADER[[#This Row],[Trap_vs_Last]]=SellMorePercentGain,                     MIN(Tab_NewTRADER[[#This Row],[L_Sn]],Tab_NewTRADER[[#This Row],[N]])*(Tab_NewTRADER[[#This Row],[M]]-Tab_NewTRADER[[#This Row],[L_Sp]])*(1-Commission)*Tab_NewTRADER[[#This Row],[Scale]],                    TRUE,"")</f>
        <v/>
      </c>
      <c r="AR56" s="1175">
        <f ca="1">_xlfn.XLOOKUP(Tab_NewTRADER[[#This Row],[ClickTick]],TabCalc[Ticker],TabCalc[Ann%RevLB])</f>
        <v>-7.8717201166180792E-2</v>
      </c>
      <c r="AS56" s="1282">
        <f ca="1">_xlfn.XLOOKUP(Tab_NewTRADER[[#This Row],[ClickTick]],TabCalc[Ticker],TabCalc[Up20])</f>
        <v>0</v>
      </c>
      <c r="AT56" s="310" t="str" cm="1">
        <f t="array" aca="1" ref="AT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6" s="825" t="str" cm="1">
        <f t="array" aca="1" ref="AU56" ca="1">_xlfn.IFS(         Tab_NewTRADER[[#This Row],[Trap_vs_Last]]=MDown,Tab_NewTRADER[[#This Row],[L_Bn]]*Tab_NewTRADER[[#This Row],[M]]*(-(Tab_NewTRADER[[#This Row],[L_Bp]]+Tab_NewTRADER[[#This Row],[M]])/Tab_NewTRADER[[#This Row],[M]])*(1-Commission)*Tab_NewTRADER[[#This Row],[Scale]],                               TRUE,"")</f>
        <v/>
      </c>
      <c r="AV56" s="1186" t="str" cm="1">
        <f t="array" aca="1" ref="AV56" ca="1">_xlfn.IFS(   Tab_NewTRADER[[#This Row],[Trap_vs_Last]]=MUp,Tab_NewTRADER[[#This Row],[TakeGain_A]]-Commission,        Tab_NewTRADER[[#This Row],[Trap_vs_Last]]=MDown,(Tab_NewTRADER[[#This Row],[A]]-Tab_NewTRADER[[#This Row],[M]])/Tab_NewTRADER[[#This Row],[M]]-Commission,                              TRUE,"")</f>
        <v/>
      </c>
      <c r="AW56" s="825" cm="1">
        <f t="array" aca="1" ref="AW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-2244.150000000001</v>
      </c>
      <c r="AX56" s="760" t="str" cm="1">
        <f t="array" aca="1" ref="AX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-1.9%</v>
      </c>
      <c r="AY56" s="736" t="str" cm="1">
        <f t="array" aca="1" ref="AY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56" s="765" cm="1">
        <f t="array" aca="1" ref="AZ56" ca="1">_xlfn.IFS(Tab_NewTRADER[[#This Row],[Trap_vs_Last]]=ReSaleGain,"",         Tab_NewTRADER[[#This Row],[Trap_vs_Last]]=MDown, (Tab_NewTRADER[[#This Row],[M]]-Tab_NewTRADER[[#This Row],[A]])/Tab_NewTRADER[[#This Row],[A]]*ComFactor,             TRUE, IFERROR((Tab_NewTRADER[[#This Row],[M]]-Tab_NewTRADER[[#This Row],[A]])/Tab_NewTRADER[[#This Row],[A]]*ComFactor,""))</f>
        <v>-9.15979591836735E-2</v>
      </c>
      <c r="BA56" s="762" cm="1">
        <f t="array" aca="1" ref="BA56" ca="1">_xlfn.IFS(               Tab_NewTRADER[[#This Row],[Trap_vs_Last]]=NoStock,(Tab_NewTRADER[[#This Row],[L_Sp]]-Tab_NewTRADER[[#This Row],[M]])/Tab_NewTRADER[[#This Row],[M]]-Commission,             Tab_NewTRADER[[#This Row],[A]]&lt;&gt;0,(Tab_NewTRADER[[#This Row],[A]]-Tab_NewTRADER[[#This Row],[M]])/Tab_NewTRADER[[#This Row],[M]]-Commission)</f>
        <v>9.8523595505618011E-2</v>
      </c>
      <c r="BB56" s="324">
        <f ca="1">_xlfn.XLOOKUP(Tab_NewTRADER[[#This Row],[ClickTick]],TabCalc[Ticker],TabCalc[L_Sn])</f>
        <v>5000</v>
      </c>
      <c r="BC56" s="728">
        <f ca="1">_xlfn.XLOOKUP(Tab_NewTRADER[[#This Row],[ClickTick]],TabCalc[Ticker],TabCalc[L_Sp])</f>
        <v>3.52</v>
      </c>
      <c r="BD56" s="764">
        <f ca="1">-IFERROR((Tab_NewTRADER[[#This Row],[M]]-Tab_NewTRADER[[#This Row],[L_Sp]])/Tab_NewTRADER[[#This Row],[L_Sp]],0)</f>
        <v>0.36789772727272724</v>
      </c>
      <c r="BE56" s="729">
        <f ca="1">MIN(Tab_NewTRADER[[#This Row],[L_Sn]],Tab_NewTRADER[[#This Row],[N]])*(Tab_NewTRADER[[#This Row],[M]]-Tab_NewTRADER[[#This Row],[L_Sp]])*(1-Commission)*Tab_NewTRADER[[#This Row],[Scale]]</f>
        <v>-6458.165</v>
      </c>
      <c r="BF56" s="692">
        <f ca="1">Tab_NewTRADER[[#This Row],[L_Sn]]*(Tab_NewTRADER[[#This Row],[Agiotage]]-Tab_NewTRADER[[#This Row],[M]])/(Tab_NewTRADER[[#This Row],[L_Bn]]*Tab_NewTRADER[[#This Row],[M]])</f>
        <v>-0.37688072903893471</v>
      </c>
      <c r="BG56" s="635">
        <f ca="1">IFERROR((Tab_NewTRADER[[#This Row],[M]]-Tab_NewTRADER[[#This Row],[A]])/Tab_NewTRADER[[#This Row],[A]],0)</f>
        <v>-9.1836734693877584E-2</v>
      </c>
      <c r="BH56" s="638" t="str">
        <f ca="1">TEXT(_xlfn.XLOOKUP(Tab_NewTRADER[[#This Row],[ClickTick]],TabCalc[Ticker],TabCalc[NAfter]),"#,#0")&amp;" : "&amp;TEXT(_xlfn.XLOOKUP(Tab_NewTRADER[[#This Row],[ClickTick]],TabCalc[Ticker],TabCalc[NAfter])*(Tab_NewTRADER[[#This Row],[M]]-Tab_NewTRADER[[#This Row],[A]])*(1-Commission)*Tab_NewTRADER[[#This Row],[Scale]],"#,#0$")</f>
        <v>10,000 : -2,244$</v>
      </c>
      <c r="BI56" s="684">
        <f ca="1">_xlfn.XLOOKUP(Tab_NewTRADER[[#This Row],[ClickTick]],TabCalc[[#This Row],[Ticker]],TabCalc[[#This Row],[GL]])*(1-Commission)</f>
        <v>9236.3379209999966</v>
      </c>
      <c r="BJ56" s="684"/>
      <c r="BK56" s="669" t="str">
        <f ca="1">Tab_NewTRADER[[#This Row],[ClickTick]]&amp;": "&amp;_xlfn.XLOOKUP(Tab_NewTRADER[[#This Row],[ClickTick]],TabCalc[Ticker],TabCalc[Pile?])</f>
        <v xml:space="preserve">MVEDDD: </v>
      </c>
      <c r="BL56" s="351" t="s">
        <v>1938</v>
      </c>
      <c r="BM56" s="755" t="str" cm="1">
        <f t="array" aca="1" ref="BM56" ca="1">_xlfn.TEXTJOIN("",,INDEX({"M","A","Y"}, _xlfn.SORTBY({1,2,3}, -CHOOSE({1,2,3}, Tab_NewTRADER[[#This Row],[M]], Tab_NewTRADER[[#This Row],[A]], Tab_NewTRADER[[#This Row],[Agiotage]]))))</f>
        <v>AMY</v>
      </c>
      <c r="BN56" s="909" t="str" cm="1">
        <f t="array" aca="1" ref="BN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6" s="679" t="e">
        <f ca="1">Tab_NewTRADER[[#This Row],[L_Sn]]*Tab_NewTRADER[[#This Row],[L_Sp]]+Tab_NewTRADER[[#This Row],[SellMore]]*Tab_NewTRADER[[#This Row],[M]]</f>
        <v>#N/A</v>
      </c>
      <c r="BP56" s="679" t="e">
        <f ca="1">INDEX(
  INDEX(TabConsolid[], , _xlfn.XMATCH(Tab_NewTRADER[[#This Row],[ClickTick]]&amp;1, TabConsolid[#Headers])),
  MATCH(
    -Tab_NewTRADER[[#This Row],[M]],
    INDEX(TabConsolid[], , _xlfn.XMATCH(Tab_NewTRADER[[#This Row],[ClickTick]]&amp;2, TabConsolid[#Headers])),
    -1
  )
)</f>
        <v>#N/A</v>
      </c>
      <c r="BQ56" s="679" cm="1">
        <f t="array" aca="1" ref="BQ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6" s="1156" t="e">
        <f ca="1">Tab_NewTRADER[[#This Row],[ReBuy]]/(Tab_NewTRADER[[#This Row],[L_Sn]]+Tab_NewTRADER[[#This Row],[SellMore]])</f>
        <v>#N/A</v>
      </c>
      <c r="BS56" s="687">
        <f ca="1">((_xlfn.XLOOKUP(Tab_NewTRADER[[#This Row],[ClickTick]],TabCalc[Ticker],TabCalc[NAfter])+Tab_NewTRADER[[#This Row],[L_Sn]])*(Tab_NewTRADER[[#This Row],[Agiotage]]-Tab_NewTRADER[[#This Row],[M]]))/(Tab_NewTRADER[[#This Row],[L_Sn]]*_xlfn.XLOOKUP(Tab_NewTRADER[[#This Row],[ClickTick]],TabCalc[Ticker],TabCalc[NAfter]))</f>
        <v>-5.0313577326697773E-4</v>
      </c>
      <c r="BT56" s="687">
        <f ca="1">(Tab_NewTRADER[[#This Row],[M]]-Tab_NewTRADER[[#This Row],[Agiotage]])/(Tab_NewTRADER[[#This Row],[M]]-Tab_NewTRADER[[#This Row],[A]])-1</f>
        <v>-8.4538633076589278</v>
      </c>
      <c r="BU56" s="1277">
        <f ca="1">_xlfn.XMATCH(Tab_NewTRADER[[#This Row],[ClickTick]]&amp;1, TabConsolid[#Headers])</f>
        <v>164</v>
      </c>
      <c r="BV56" t="str">
        <f ca="1">IF(ABS(Tab_NewTRADER[[#This Row],[L_Bp]])&gt;=Tab_NewTRADER[[#This Row],[M]],"OK")</f>
        <v>OK</v>
      </c>
    </row>
    <row r="57" spans="1:74"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-10,320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-29.5%</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-4,010$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-16,670$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71.4% = 300</v>
      </c>
      <c r="I57" s="226" t="str">
        <f ca="1">IFERROR(TRUNC(TabCalc[[#This Row],[L_S1p]],2)&amp;"x"&amp;TabCalc[[#This Row],[L_S1n]]&amp;"=   "&amp;TEXT(TabCalc[[#This Row],[ReverseB1]],"#,#0"),"")</f>
        <v>40.59x1000=   17,255</v>
      </c>
      <c r="J57" s="295">
        <f ca="1">_xlfn.XLOOKUP(Tab_NewTRADER[[#This Row],[ClickTick]],TabCalc[Ticker],ListGravity)</f>
        <v>1.3658003427592118</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233400</v>
      </c>
      <c r="M57" s="323">
        <f ca="1">_xlfn.XLOOKUP(Tab_NewTRADER[[#This Row],[ClickTick]],TabCalc[Ticker],TabCalc[Agiotage])</f>
        <v>0.97018179551316519</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-0.22766379880873591</v>
      </c>
      <c r="S57" s="683">
        <f ca="1">_xlfn.XLOOKUP(Tab_NewTRADER[[#This Row],[ClickTick]],TabCalc[Ticker],TabCalc[Rev(MinStock)])*(1-Commission)</f>
        <v>-10293.167999999998</v>
      </c>
      <c r="T57" s="782">
        <f ca="1">_xlfn.XLOOKUP(Tab_NewTRADER[[#This Row],[ClickTick]],TabCalc[Ticker],TabCalc[Agiotage])</f>
        <v>0.97018179551316519</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57" s="739" t="str">
        <f ca="1">_xlfn.XLOOKUP(Tab_NewTRADER[[#This Row],[ClickTick]],[1]!RTData[Ticker_Symbol],[1]!RTData[Currency])</f>
        <v>EUR</v>
      </c>
      <c r="W57" s="749">
        <f ca="1">_xlfn.XLOOKUP(Tab_NewTRADER[[#This Row],[ClickTick]],TabCalc[Ticker],TabCalc[M])</f>
        <v>23.34</v>
      </c>
      <c r="X57" s="1343"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-119/280 K$</v>
      </c>
      <c r="AE57" s="1195" t="str" cm="1">
        <f t="array" aca="1" ref="AE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7" s="1176" t="str" cm="1">
        <f t="array" aca="1" ref="AF57" ca="1">_xlfn.IFS(       Tab_NewTRADER[[#This Row],[Trap_vs_Last]]=RePurchaseGain,TEXT(Tab_NewTRADER[[#This Row],[L_Sn]],"#,#0")&amp;" x "&amp;TEXT(Tab_NewTRADER[[#This Row],[L_Sp]],"#,#0.#0"),     Tab_NewTRADER[[#This Row],[Trap_vs_Last]]=ReSaleGain,Tab_NewTRADER[[#This Row],[ToSell]],               TRUE,"")</f>
        <v/>
      </c>
      <c r="AG57" s="1177" t="str" cm="1">
        <f t="array" aca="1" ref="AG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H57" s="1370" t="str">
        <f ca="1">TEXT(MIN(Tab_NewTRADER[[#This Row],[L_Bn]],Tab_NewTRADER[[#This Row],[N]]),"#,#0")&amp;" x "&amp;TEXT(Tab_NewTRADER[[#This Row],[L_Bp]],"#,#0.#0")</f>
        <v>1,500 x -30.22</v>
      </c>
      <c r="AI57" s="1370">
        <f ca="1">IF(Tab_NewTRADER[[#This Row],[M]]&lt;_xlfn.XLOOKUP(Tab_NewTRADER[[#This Row],[ClickTick]],TabCalc[Ticker],TabCalc[Max_Buy_P]), 0,Tab_NewTRADER[[#This Row],[Sale_Back_$]])</f>
        <v>0</v>
      </c>
      <c r="AJ57" s="1370" t="str">
        <f ca="1">TEXT(Tab_NewTRADER[[#This Row],[L_Sn]],"#,#0")&amp;" ("&amp;Tab_NewTRADER[[#This Row],[M]]&amp;"/"&amp;TEXT(Tab_NewTRADER[[#This Row],[L_Sp]],"#,#0.#0)")</f>
        <v>1,000 (23.34/40.01)</v>
      </c>
      <c r="AK57" s="1370">
        <f ca="1">IF(Tab_NewTRADER[[#This Row],[M]]&lt;_xlfn.XLOOKUP(Tab_NewTRADER[[#This Row],[ClickTick]],TabCalc[Ticker],TabCalc[Max_Buy_P]), -Tab_NewTRADER[[#This Row],[Buy_Back]], 0)</f>
        <v>16626.657999999996</v>
      </c>
      <c r="AL57" s="1177" cm="1">
        <f t="array" aca="1" ref="AL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10293.167999999998</v>
      </c>
      <c r="AM57" s="1177">
        <f ca="1">Tab_NewTRADER[[#This Row],[N]]*(Tab_NewTRADER[[#This Row],[M]]-Tab_NewTRADER[[#This Row],[A]])*(1-Commission)*Tab_NewTRADER[[#This Row],[Scale]]</f>
        <v>-123248.71800000002</v>
      </c>
      <c r="AN57" s="1177">
        <f ca="1">Tab_NewTRADER[[#This Row],[M]]*Tab_NewTRADER[[#This Row],[N]]*(1-Commission)*Tab_NewTRADER[[#This Row],[Scale]]</f>
        <v>279351.79200000002</v>
      </c>
      <c r="AO57" s="1186" cm="1">
        <f t="array" aca="1" ref="AO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0.30613154960981054</v>
      </c>
      <c r="AP57" s="1186" cm="1">
        <f t="array" aca="1" ref="AP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0.29217292202227929</v>
      </c>
      <c r="AQ57" s="825" t="str" cm="1">
        <f t="array" aca="1" ref="AQ57" ca="1">_xlfn.IFS(   Tab_NewTRADER[[#This Row],[Trap_vs_Last]]=SellMorePercentGain,                     MIN(Tab_NewTRADER[[#This Row],[L_Sn]],Tab_NewTRADER[[#This Row],[N]])*(Tab_NewTRADER[[#This Row],[M]]-Tab_NewTRADER[[#This Row],[L_Sp]])*(1-Commission)*Tab_NewTRADER[[#This Row],[Scale]],                    TRUE,"")</f>
        <v/>
      </c>
      <c r="AR57" s="1175">
        <f ca="1">_xlfn.XLOOKUP(Tab_NewTRADER[[#This Row],[ClickTick]],TabCalc[Ticker],TabCalc[Ann%RevLB])</f>
        <v>-0.61163408635182781</v>
      </c>
      <c r="AS57" s="1282">
        <f ca="1">_xlfn.XLOOKUP(Tab_NewTRADER[[#This Row],[ClickTick]],TabCalc[Ticker],TabCalc[Up20])</f>
        <v>0</v>
      </c>
      <c r="AT57" s="310" cm="1">
        <f t="array" aca="1" ref="AT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0.29477292202227928</v>
      </c>
      <c r="AU57" s="825" cm="1">
        <f t="array" aca="1" ref="AU57" ca="1">_xlfn.IFS(         Tab_NewTRADER[[#This Row],[Trap_vs_Last]]=MDown,Tab_NewTRADER[[#This Row],[L_Bn]]*Tab_NewTRADER[[#This Row],[M]]*(-(Tab_NewTRADER[[#This Row],[L_Bp]]+Tab_NewTRADER[[#This Row],[M]])/Tab_NewTRADER[[#This Row],[M]])*(1-Commission)*Tab_NewTRADER[[#This Row],[Scale]],                               TRUE,"")</f>
        <v>10293.167999999998</v>
      </c>
      <c r="AV57" s="1186" cm="1">
        <f t="array" aca="1" ref="AV57" ca="1">_xlfn.IFS(   Tab_NewTRADER[[#This Row],[Trap_vs_Last]]=MUp,Tab_NewTRADER[[#This Row],[TakeGain_A]]-Commission,        Tab_NewTRADER[[#This Row],[Trap_vs_Last]]=MDown,(Tab_NewTRADER[[#This Row],[A]]-Tab_NewTRADER[[#This Row],[M]])/Tab_NewTRADER[[#This Row],[M]]-Commission,                              TRUE,"")</f>
        <v>0.43859537275064281</v>
      </c>
      <c r="AW57" s="825" cm="1">
        <f t="array" aca="1" ref="AW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123248.71800000002</v>
      </c>
      <c r="AX57" s="760" t="str" cm="1">
        <f t="array" aca="1" ref="AX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57" s="736" cm="1">
        <f t="array" aca="1" ref="AY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-6.88</v>
      </c>
      <c r="AZ57" s="765" cm="1">
        <f t="array" aca="1" ref="AZ57" ca="1">_xlfn.IFS(Tab_NewTRADER[[#This Row],[Trap_vs_Last]]=ReSaleGain,"",         Tab_NewTRADER[[#This Row],[Trap_vs_Last]]=MDown, (Tab_NewTRADER[[#This Row],[M]]-Tab_NewTRADER[[#This Row],[A]])/Tab_NewTRADER[[#This Row],[A]]*ComFactor,             TRUE, IFERROR((Tab_NewTRADER[[#This Row],[M]]-Tab_NewTRADER[[#This Row],[A]])/Tab_NewTRADER[[#This Row],[A]]*ComFactor,""))</f>
        <v>-0.30533560758082501</v>
      </c>
      <c r="BA57" s="762" cm="1">
        <f t="array" aca="1" ref="BA57" ca="1">_xlfn.IFS(               Tab_NewTRADER[[#This Row],[Trap_vs_Last]]=NoStock,(Tab_NewTRADER[[#This Row],[L_Sp]]-Tab_NewTRADER[[#This Row],[M]])/Tab_NewTRADER[[#This Row],[M]]-Commission,             Tab_NewTRADER[[#This Row],[A]]&lt;&gt;0,(Tab_NewTRADER[[#This Row],[A]]-Tab_NewTRADER[[#This Row],[M]])/Tab_NewTRADER[[#This Row],[M]]-Commission)</f>
        <v>0.43859537275064281</v>
      </c>
      <c r="BB57" s="324">
        <f ca="1">_xlfn.XLOOKUP(Tab_NewTRADER[[#This Row],[ClickTick]],TabCalc[Ticker],TabCalc[L_Sn])</f>
        <v>1000</v>
      </c>
      <c r="BC57" s="728">
        <f ca="1">_xlfn.XLOOKUP(Tab_NewTRADER[[#This Row],[ClickTick]],TabCalc[Ticker],TabCalc[L_Sp])</f>
        <v>40.01</v>
      </c>
      <c r="BD57" s="764">
        <f ca="1">-IFERROR((Tab_NewTRADER[[#This Row],[M]]-Tab_NewTRADER[[#This Row],[L_Sp]])/Tab_NewTRADER[[#This Row],[L_Sp]],0)</f>
        <v>0.41664583854036491</v>
      </c>
      <c r="BE57" s="729">
        <f ca="1">MIN(Tab_NewTRADER[[#This Row],[L_Sn]],Tab_NewTRADER[[#This Row],[N]])*(Tab_NewTRADER[[#This Row],[M]]-Tab_NewTRADER[[#This Row],[L_Sp]])*(1-Commission)*Tab_NewTRADER[[#This Row],[Scale]]</f>
        <v>-16626.657999999996</v>
      </c>
      <c r="BF57" s="692">
        <f ca="1">Tab_NewTRADER[[#This Row],[L_Sn]]*(Tab_NewTRADER[[#This Row],[Agiotage]]-Tab_NewTRADER[[#This Row],[M]])/(Tab_NewTRADER[[#This Row],[L_Bn]]*Tab_NewTRADER[[#This Row],[M]])</f>
        <v>-0.63895510438408554</v>
      </c>
      <c r="BG57" s="635">
        <f ca="1">IFERROR((Tab_NewTRADER[[#This Row],[M]]-Tab_NewTRADER[[#This Row],[A]])/Tab_NewTRADER[[#This Row],[A]],0)</f>
        <v>-0.30613154960981054</v>
      </c>
      <c r="BH57" s="638" t="str">
        <f ca="1">TEXT(_xlfn.XLOOKUP(Tab_NewTRADER[[#This Row],[ClickTick]],TabCalc[Ticker],TabCalc[NAfter]),"#,#0")&amp;" : "&amp;TEXT(_xlfn.XLOOKUP(Tab_NewTRADER[[#This Row],[ClickTick]],TabCalc[Ticker],TabCalc[NAfter])*(Tab_NewTRADER[[#This Row],[M]]-Tab_NewTRADER[[#This Row],[A]])*(1-Commission)*Tab_NewTRADER[[#This Row],[Scale]],"#,#0$")</f>
        <v>12,000 : -123,249$</v>
      </c>
      <c r="BI57" s="684">
        <f ca="1">_xlfn.XLOOKUP(Tab_NewTRADER[[#This Row],[ClickTick]],TabCalc[[#This Row],[Ticker]],TabCalc[[#This Row],[GL]])*(1-Commission)</f>
        <v>-119156.7807704</v>
      </c>
      <c r="BJ57" s="684"/>
      <c r="BK57" s="669" t="str">
        <f ca="1">Tab_NewTRADER[[#This Row],[ClickTick]]&amp;": "&amp;_xlfn.XLOOKUP(Tab_NewTRADER[[#This Row],[ClickTick]],TabCalc[Ticker],TabCalc[Pile?])</f>
        <v>MVEDSY: Pile</v>
      </c>
      <c r="BL57" s="351" t="s">
        <v>1943</v>
      </c>
      <c r="BM57" s="755" t="str" cm="1">
        <f t="array" aca="1" ref="BM57" ca="1">_xlfn.TEXTJOIN("",,INDEX({"M","A","Y"}, _xlfn.SORTBY({1,2,3}, -CHOOSE({1,2,3}, Tab_NewTRADER[[#This Row],[M]], Tab_NewTRADER[[#This Row],[A]], Tab_NewTRADER[[#This Row],[Agiotage]]))))</f>
        <v>AMY</v>
      </c>
      <c r="BN57" s="909" cm="1">
        <f t="array" aca="1" ref="BN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0.29477292202227928</v>
      </c>
      <c r="BO57" s="679" t="e">
        <f ca="1">Tab_NewTRADER[[#This Row],[L_Sn]]*Tab_NewTRADER[[#This Row],[L_Sp]]+Tab_NewTRADER[[#This Row],[SellMore]]*Tab_NewTRADER[[#This Row],[M]]</f>
        <v>#N/A</v>
      </c>
      <c r="BP57" s="679" t="e">
        <f ca="1">INDEX(
  INDEX(TabConsolid[], , _xlfn.XMATCH(Tab_NewTRADER[[#This Row],[ClickTick]]&amp;1, TabConsolid[#Headers])),
  MATCH(
    -Tab_NewTRADER[[#This Row],[M]],
    INDEX(TabConsolid[], , _xlfn.XMATCH(Tab_NewTRADER[[#This Row],[ClickTick]]&amp;2, TabConsolid[#Headers])),
    -1
  )
)</f>
        <v>#N/A</v>
      </c>
      <c r="BQ57" s="679" cm="1">
        <f t="array" aca="1" ref="BQ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57" s="1156" t="e">
        <f ca="1">Tab_NewTRADER[[#This Row],[ReBuy]]/(Tab_NewTRADER[[#This Row],[L_Sn]]+Tab_NewTRADER[[#This Row],[SellMore]])</f>
        <v>#N/A</v>
      </c>
      <c r="BS57" s="687">
        <f ca="1">((_xlfn.XLOOKUP(Tab_NewTRADER[[#This Row],[ClickTick]],TabCalc[Ticker],TabCalc[NAfter])+Tab_NewTRADER[[#This Row],[L_Sn]])*(Tab_NewTRADER[[#This Row],[Agiotage]]-Tab_NewTRADER[[#This Row],[M]]))/(Tab_NewTRADER[[#This Row],[L_Sn]]*_xlfn.XLOOKUP(Tab_NewTRADER[[#This Row],[ClickTick]],TabCalc[Ticker],TabCalc[NAfter]))</f>
        <v>-2.4233969721527401E-2</v>
      </c>
      <c r="BT57" s="687">
        <f ca="1">(Tab_NewTRADER[[#This Row],[M]]-Tab_NewTRADER[[#This Row],[Agiotage]])/(Tab_NewTRADER[[#This Row],[M]]-Tab_NewTRADER[[#This Row],[A]])-1</f>
        <v>-3.1723542806008087</v>
      </c>
      <c r="BU57" s="1277">
        <f ca="1">_xlfn.XMATCH(Tab_NewTRADER[[#This Row],[ClickTick]]&amp;1, TabConsolid[#Headers])</f>
        <v>167</v>
      </c>
      <c r="BV57" t="str">
        <f ca="1">IF(ABS(Tab_NewTRADER[[#This Row],[L_Bp]])&gt;=Tab_NewTRADER[[#This Row],[M]],"OK")</f>
        <v>OK</v>
      </c>
    </row>
    <row r="58" spans="1:74"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+50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31.3%</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54$</v>
      </c>
      <c r="G58" s="225" t="str">
        <f ca="1">IFERROR(TRUNC(_xlfn.XLOOKUP(Tab_NewTRADER[[#This Row],[ClickTick]],TabCalc[Ticker],ListLastSalep),2)&amp;"x"&amp;_xlfn.XLOOKUP(Tab_NewTRADER[[#This Row],[ClickTick]],TabCalc[Ticker],ListLastSalen)&amp;"=   "&amp;TEXT(-_xlfn.XLOOKUP(Tab_NewTRADER[[#This Row],[ClickTick]],TabCalc[Ticker],ListReverseB),"#,#0")&amp;"$","")</f>
        <v>12.56x2990=   10,600$</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-22.0% = 0</v>
      </c>
      <c r="I58" s="226" t="str">
        <f ca="1">IFERROR(TRUNC(TabCalc[[#This Row],[L_S1p]],2)&amp;"x"&amp;TabCalc[[#This Row],[L_S1n]]&amp;"=   "&amp;TEXT(TabCalc[[#This Row],[ReverseB1]],"#,#0"),"")</f>
        <v>11.65x3000=   -13,361</v>
      </c>
      <c r="J58" s="295">
        <f ca="1">_xlfn.XLOOKUP(Tab_NewTRADER[[#This Row],[ClickTick]],TabCalc[Ticker],ListGravity)</f>
        <v>1.0505799441167338</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1.3773604663339033E-3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0.45614828209764918</v>
      </c>
      <c r="S58" s="683">
        <f ca="1">_xlfn.XLOOKUP(Tab_NewTRADER[[#This Row],[ClickTick]],TabCalc[Ticker],TabCalc[Rev(MinStock)])*(1-Commission)</f>
        <v>50.318829999999998</v>
      </c>
      <c r="T58" s="782">
        <f ca="1">_xlfn.XLOOKUP(Tab_NewTRADER[[#This Row],[ClickTick]],TabCalc[Ticker],TabCalc[Agiotage])</f>
        <v>1.3773604663339033E-3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0.2%</v>
      </c>
      <c r="V58" s="739" t="str">
        <f ca="1">_xlfn.XLOOKUP(Tab_NewTRADER[[#This Row],[ClickTick]],[1]!RTData[Ticker_Symbol],[1]!RTData[Currency])</f>
        <v>EUR</v>
      </c>
      <c r="W58" s="749">
        <f ca="1">_xlfn.XLOOKUP(Tab_NewTRADER[[#This Row],[ClickTick]],TabCalc[Ticker],TabCalc[M])</f>
        <v>16.105</v>
      </c>
      <c r="X58" s="1343"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E58" s="1195" t="str" cm="1">
        <f t="array" aca="1" ref="AE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8" s="1177" t="str" cm="1">
        <f t="array" aca="1" ref="AF58" ca="1">_xlfn.IFS(       Tab_NewTRADER[[#This Row],[Trap_vs_Last]]=RePurchaseGain,TEXT(Tab_NewTRADER[[#This Row],[L_Sn]],"#,#0")&amp;" x "&amp;TEXT(Tab_NewTRADER[[#This Row],[L_Sp]],"#,#0.#0"),     Tab_NewTRADER[[#This Row],[Trap_vs_Last]]=ReSaleGain,Tab_NewTRADER[[#This Row],[ToSell]],               TRUE,"")</f>
        <v/>
      </c>
      <c r="AG58" s="1177" t="str" cm="1">
        <f t="array" aca="1" ref="AG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H58" s="1370" t="str">
        <f ca="1">TEXT(MIN(Tab_NewTRADER[[#This Row],[L_Bn]],Tab_NewTRADER[[#This Row],[N]]),"#,#0")&amp;" x "&amp;TEXT(Tab_NewTRADER[[#This Row],[L_Bp]],"#,#0.#0")</f>
        <v>10 x -11.06</v>
      </c>
      <c r="AI58" s="1370">
        <f ca="1">IF(Tab_NewTRADER[[#This Row],[M]]&lt;_xlfn.XLOOKUP(Tab_NewTRADER[[#This Row],[ClickTick]],TabCalc[Ticker],TabCalc[Max_Buy_P]), 0,Tab_NewTRADER[[#This Row],[Sale_Back_$]])</f>
        <v>50.318829999999998</v>
      </c>
      <c r="AJ58" s="1370" t="str">
        <f ca="1">TEXT(Tab_NewTRADER[[#This Row],[L_Sn]],"#,#0")&amp;" ("&amp;Tab_NewTRADER[[#This Row],[M]]&amp;"/"&amp;TEXT(Tab_NewTRADER[[#This Row],[L_Sp]],"#,#0.#0)")</f>
        <v>2,990 (16.105/12.56)</v>
      </c>
      <c r="AK58" s="1370">
        <f ca="1">IF(Tab_NewTRADER[[#This Row],[M]]&lt;_xlfn.XLOOKUP(Tab_NewTRADER[[#This Row],[ClickTick]],TabCalc[Ticker],TabCalc[Max_Buy_P]), -Tab_NewTRADER[[#This Row],[Buy_Back]], 0)</f>
        <v>0</v>
      </c>
      <c r="AL58" s="1177" cm="1">
        <f t="array" aca="1" ref="AL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35.35783</v>
      </c>
      <c r="AM58" s="1177">
        <f ca="1">Tab_NewTRADER[[#This Row],[N]]*(Tab_NewTRADER[[#This Row],[M]]-Tab_NewTRADER[[#This Row],[A]])*(1-Commission)*Tab_NewTRADER[[#This Row],[Scale]]</f>
        <v>50.318829999999998</v>
      </c>
      <c r="AN58" s="1177">
        <f ca="1">Tab_NewTRADER[[#This Row],[M]]*Tab_NewTRADER[[#This Row],[N]]*(1-Commission)*Tab_NewTRADER[[#This Row],[Scale]]</f>
        <v>160.63127</v>
      </c>
      <c r="AO58" s="1186" cm="1">
        <f t="array" aca="1" ref="AO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0.45614828209764918</v>
      </c>
      <c r="AP58" s="1186" cm="1">
        <f t="array" aca="1" ref="AP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0.21751797578391804</v>
      </c>
      <c r="AQ58" s="825" cm="1">
        <f t="array" aca="1" ref="AQ58" ca="1">_xlfn.IFS(   Tab_NewTRADER[[#This Row],[Trap_vs_Last]]=SellMorePercentGain,                     MIN(Tab_NewTRADER[[#This Row],[L_Sn]],Tab_NewTRADER[[#This Row],[N]])*(Tab_NewTRADER[[#This Row],[M]]-Tab_NewTRADER[[#This Row],[L_Sp]])*(1-Commission)*Tab_NewTRADER[[#This Row],[Scale]],                    TRUE,"")</f>
        <v>35.35783</v>
      </c>
      <c r="AR58" s="1175">
        <f ca="1">_xlfn.XLOOKUP(Tab_NewTRADER[[#This Row],[ClickTick]],TabCalc[Ticker],TabCalc[Ann%RevLB])</f>
        <v>0.56625303984535758</v>
      </c>
      <c r="AS58" s="1282">
        <f ca="1">_xlfn.XLOOKUP(Tab_NewTRADER[[#This Row],[ClickTick]],TabCalc[Ticker],TabCalc[Up20])</f>
        <v>0</v>
      </c>
      <c r="AT58" s="310" t="str" cm="1">
        <f t="array" aca="1" ref="AT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8" s="825" t="str" cm="1">
        <f t="array" aca="1" ref="AU58" ca="1">_xlfn.IFS(         Tab_NewTRADER[[#This Row],[Trap_vs_Last]]=MDown,Tab_NewTRADER[[#This Row],[L_Bn]]*Tab_NewTRADER[[#This Row],[M]]*(-(Tab_NewTRADER[[#This Row],[L_Bp]]+Tab_NewTRADER[[#This Row],[M]])/Tab_NewTRADER[[#This Row],[M]])*(1-Commission)*Tab_NewTRADER[[#This Row],[Scale]],                               TRUE,"")</f>
        <v/>
      </c>
      <c r="AV58" s="1186" cm="1">
        <f t="array" aca="1" ref="AV58" ca="1">_xlfn.IFS(   Tab_NewTRADER[[#This Row],[Trap_vs_Last]]=MUp,Tab_NewTRADER[[#This Row],[TakeGain_A]]-Commission,        Tab_NewTRADER[[#This Row],[Trap_vs_Last]]=MDown,(Tab_NewTRADER[[#This Row],[A]]-Tab_NewTRADER[[#This Row],[M]])/Tab_NewTRADER[[#This Row],[M]]-Commission,                              TRUE,"")</f>
        <v>0.45354828209764919</v>
      </c>
      <c r="AW58" s="825" cm="1">
        <f t="array" aca="1" ref="AW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73.271677861663647</v>
      </c>
      <c r="AX58" s="760" t="str" cm="1">
        <f t="array" aca="1" ref="AX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58" s="736" t="str" cm="1">
        <f t="array" aca="1" ref="AY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10x5.04</v>
      </c>
      <c r="AZ58" s="765" cm="1">
        <f t="array" aca="1" ref="AZ58" ca="1">_xlfn.IFS(Tab_NewTRADER[[#This Row],[Trap_vs_Last]]=ReSaleGain,"",         Tab_NewTRADER[[#This Row],[Trap_vs_Last]]=MDown, (Tab_NewTRADER[[#This Row],[M]]-Tab_NewTRADER[[#This Row],[A]])/Tab_NewTRADER[[#This Row],[A]]*ComFactor,             TRUE, IFERROR((Tab_NewTRADER[[#This Row],[M]]-Tab_NewTRADER[[#This Row],[A]])/Tab_NewTRADER[[#This Row],[A]]*ComFactor,""))</f>
        <v>0.45496229656419529</v>
      </c>
      <c r="BA58" s="762" cm="1">
        <f t="array" aca="1" ref="BA58" ca="1">_xlfn.IFS(               Tab_NewTRADER[[#This Row],[Trap_vs_Last]]=NoStock,(Tab_NewTRADER[[#This Row],[L_Sp]]-Tab_NewTRADER[[#This Row],[M]])/Tab_NewTRADER[[#This Row],[M]]-Commission,             Tab_NewTRADER[[#This Row],[A]]&lt;&gt;0,(Tab_NewTRADER[[#This Row],[A]]-Tab_NewTRADER[[#This Row],[M]])/Tab_NewTRADER[[#This Row],[M]]-Commission)</f>
        <v>-0.31585675256131635</v>
      </c>
      <c r="BB58" s="324">
        <f ca="1">_xlfn.XLOOKUP(Tab_NewTRADER[[#This Row],[ClickTick]],TabCalc[Ticker],TabCalc[L_Sn])</f>
        <v>2990</v>
      </c>
      <c r="BC58" s="728">
        <f ca="1">_xlfn.XLOOKUP(Tab_NewTRADER[[#This Row],[ClickTick]],TabCalc[Ticker],TabCalc[L_Sp])</f>
        <v>12.56</v>
      </c>
      <c r="BD58" s="764">
        <f ca="1">-IFERROR((Tab_NewTRADER[[#This Row],[M]]-Tab_NewTRADER[[#This Row],[L_Sp]])/Tab_NewTRADER[[#This Row],[L_Sp]],0)</f>
        <v>-0.28224522292993631</v>
      </c>
      <c r="BE58" s="729">
        <f ca="1">MIN(Tab_NewTRADER[[#This Row],[L_Sn]],Tab_NewTRADER[[#This Row],[N]])*(Tab_NewTRADER[[#This Row],[M]]-Tab_NewTRADER[[#This Row],[L_Sp]])*(1-Commission)*Tab_NewTRADER[[#This Row],[Scale]]</f>
        <v>35.35783</v>
      </c>
      <c r="BF58" s="692">
        <f ca="1">Tab_NewTRADER[[#This Row],[L_Sn]]*(Tab_NewTRADER[[#This Row],[Agiotage]]-Tab_NewTRADER[[#This Row],[M]])/(Tab_NewTRADER[[#This Row],[L_Bn]]*Tab_NewTRADER[[#This Row],[M]])</f>
        <v>-0.49829071398329355</v>
      </c>
      <c r="BG58" s="635">
        <f ca="1">IFERROR((Tab_NewTRADER[[#This Row],[M]]-Tab_NewTRADER[[#This Row],[A]])/Tab_NewTRADER[[#This Row],[A]],0)</f>
        <v>0.45614828209764918</v>
      </c>
      <c r="BH58" s="638" t="str">
        <f ca="1">TEXT(_xlfn.XLOOKUP(Tab_NewTRADER[[#This Row],[ClickTick]],TabCalc[Ticker],TabCalc[NAfter]),"#,#0")&amp;" : "&amp;TEXT(_xlfn.XLOOKUP(Tab_NewTRADER[[#This Row],[ClickTick]],TabCalc[Ticker],TabCalc[NAfter])*(Tab_NewTRADER[[#This Row],[M]]-Tab_NewTRADER[[#This Row],[A]])*(1-Commission)*Tab_NewTRADER[[#This Row],[Scale]],"#,#0$")</f>
        <v>10 : 50$</v>
      </c>
      <c r="BI58" s="684">
        <f ca="1">_xlfn.XLOOKUP(Tab_NewTRADER[[#This Row],[ClickTick]],TabCalc[[#This Row],[Ticker]],TabCalc[[#This Row],[GL]])*(1-Commission)</f>
        <v>18073.820569000014</v>
      </c>
      <c r="BJ58" s="684"/>
      <c r="BK58" s="669" t="str">
        <f ca="1">Tab_NewTRADER[[#This Row],[ClickTick]]&amp;": "&amp;_xlfn.XLOOKUP(Tab_NewTRADER[[#This Row],[ClickTick]],TabCalc[Ticker],TabCalc[Pile?])</f>
        <v>MVEEOAN: Pile</v>
      </c>
      <c r="BL58" s="351" t="s">
        <v>1944</v>
      </c>
      <c r="BM58" s="755" t="str" cm="1">
        <f t="array" aca="1" ref="BM58" ca="1">_xlfn.TEXTJOIN("",,INDEX({"M","A","Y"}, _xlfn.SORTBY({1,2,3}, -CHOOSE({1,2,3}, Tab_NewTRADER[[#This Row],[M]], Tab_NewTRADER[[#This Row],[A]], Tab_NewTRADER[[#This Row],[Agiotage]]))))</f>
        <v>MAY</v>
      </c>
      <c r="BN58" s="909" cm="1">
        <f t="array" aca="1" ref="BN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0.22011797578391804</v>
      </c>
      <c r="BO58" s="679">
        <f ca="1">Tab_NewTRADER[[#This Row],[L_Sn]]*Tab_NewTRADER[[#This Row],[L_Sp]]+Tab_NewTRADER[[#This Row],[SellMore]]*Tab_NewTRADER[[#This Row],[M]]</f>
        <v>37715.450000000004</v>
      </c>
      <c r="BP58" s="679">
        <f ca="1">INDEX(
  INDEX(TabConsolid[], , _xlfn.XMATCH(Tab_NewTRADER[[#This Row],[ClickTick]]&amp;1, TabConsolid[#Headers])),
  MATCH(
    -Tab_NewTRADER[[#This Row],[M]],
    INDEX(TabConsolid[], , _xlfn.XMATCH(Tab_NewTRADER[[#This Row],[ClickTick]]&amp;2, TabConsolid[#Headers])),
    -1
  )
)</f>
        <v>10</v>
      </c>
      <c r="BQ58" s="679" cm="1">
        <f t="array" aca="1" ref="BQ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8" s="1156">
        <f ca="1">Tab_NewTRADER[[#This Row],[ReBuy]]/(Tab_NewTRADER[[#This Row],[L_Sn]]+Tab_NewTRADER[[#This Row],[SellMore]])</f>
        <v>12.571816666666669</v>
      </c>
      <c r="BS58" s="687">
        <f ca="1">((_xlfn.XLOOKUP(Tab_NewTRADER[[#This Row],[ClickTick]],TabCalc[Ticker],TabCalc[NAfter])+Tab_NewTRADER[[#This Row],[L_Sn]])*(Tab_NewTRADER[[#This Row],[Agiotage]]-Tab_NewTRADER[[#This Row],[M]]))/(Tab_NewTRADER[[#This Row],[L_Sn]]*_xlfn.XLOOKUP(Tab_NewTRADER[[#This Row],[ClickTick]],TabCalc[Ticker],TabCalc[NAfter]))</f>
        <v>-1.6157480909231103</v>
      </c>
      <c r="BT58" s="687">
        <f ca="1">(Tab_NewTRADER[[#This Row],[M]]-Tab_NewTRADER[[#This Row],[Agiotage]])/(Tab_NewTRADER[[#This Row],[M]]-Tab_NewTRADER[[#This Row],[A]])-1</f>
        <v>2.1919965588768413</v>
      </c>
      <c r="BU58" s="1277">
        <f ca="1">_xlfn.XMATCH(Tab_NewTRADER[[#This Row],[ClickTick]]&amp;1, TabConsolid[#Headers])</f>
        <v>170</v>
      </c>
      <c r="BV58" t="b">
        <f ca="1">IF(ABS(Tab_NewTRADER[[#This Row],[L_Bp]])&gt;=Tab_NewTRADER[[#This Row],[M]],"OK")</f>
        <v>0</v>
      </c>
    </row>
    <row r="59" spans="1:74"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+23,776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18.7%</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1,682/36,000=26,803</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6,684$</v>
      </c>
      <c r="G59" s="225" t="str">
        <f ca="1">IFERROR(TRUNC(_xlfn.XLOOKUP(Tab_NewTRADER[[#This Row],[ClickTick]],TabCalc[Ticker],ListLastSalep),2)&amp;"x"&amp;_xlfn.XLOOKUP(Tab_NewTRADER[[#This Row],[ClickTick]],TabCalc[Ticker],ListLastSalen)&amp;"=   "&amp;TEXT(-_xlfn.XLOOKUP(Tab_NewTRADER[[#This Row],[ClickTick]],TabCalc[Ticker],ListReverseB),"#,#0")&amp;"$","")</f>
        <v>15.12x4000=   3,248$</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59" s="226" t="str">
        <f ca="1">IFERROR(TRUNC(TabCalc[[#This Row],[L_S1p]],2)&amp;"x"&amp;TabCalc[[#This Row],[L_S1n]]&amp;"=   "&amp;TEXT(TabCalc[[#This Row],[ReverseB1]],"#,#0"),"")</f>
        <v>14.44x8000=   -11,936</v>
      </c>
      <c r="J59" s="295">
        <f ca="1">_xlfn.XLOOKUP(Tab_NewTRADER[[#This Row],[ClickTick]],TabCalc[Ticker],ListGravity)</f>
        <v>1.0119715038915391</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414232</v>
      </c>
      <c r="M59" s="323">
        <f ca="1">_xlfn.XLOOKUP(Tab_NewTRADER[[#This Row],[ClickTick]],TabCalc[Ticker],TabCalc[Agiotage])</f>
        <v>0.59620640604938813</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0.22932098765432093</v>
      </c>
      <c r="S59" s="683">
        <f ca="1">_xlfn.XLOOKUP(Tab_NewTRADER[[#This Row],[ClickTick]],TabCalc[Ticker],TabCalc[Rev(MinStock)])*(1-Commission)</f>
        <v>23714.182399999994</v>
      </c>
      <c r="T59" s="782">
        <f ca="1">_xlfn.XLOOKUP(Tab_NewTRADER[[#This Row],[ClickTick]],TabCalc[Ticker],TabCalc[Agiotage])</f>
        <v>0.59620640604938813</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-2,808/-2,808=&gt;-0.1% / -0.1%</v>
      </c>
      <c r="V59" s="739" t="str">
        <f ca="1">_xlfn.XLOOKUP(Tab_NewTRADER[[#This Row],[ClickTick]],[1]!RTData[Ticker_Symbol],[1]!RTData[Currency])</f>
        <v>EUR</v>
      </c>
      <c r="W59" s="749">
        <f ca="1">_xlfn.XLOOKUP(Tab_NewTRADER[[#This Row],[ClickTick]],TabCalc[Ticker],TabCalc[M])</f>
        <v>15.932</v>
      </c>
      <c r="X59" s="1343"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^75 / 574 K$</v>
      </c>
      <c r="AE59" s="1195" t="str" cm="1">
        <f t="array" aca="1" ref="AE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9" s="1177" t="str" cm="1">
        <f t="array" aca="1" ref="AF59" ca="1">_xlfn.IFS(       Tab_NewTRADER[[#This Row],[Trap_vs_Last]]=RePurchaseGain,TEXT(Tab_NewTRADER[[#This Row],[L_Sn]],"#,#0")&amp;" x "&amp;TEXT(Tab_NewTRADER[[#This Row],[L_Sp]],"#,#0.#0"),     Tab_NewTRADER[[#This Row],[Trap_vs_Last]]=ReSaleGain,Tab_NewTRADER[[#This Row],[ToSell]],               TRUE,"")</f>
        <v/>
      </c>
      <c r="AG59" s="1177" t="str" cm="1">
        <f t="array" aca="1" ref="AG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H59" s="1370" t="str">
        <f ca="1">TEXT(MIN(Tab_NewTRADER[[#This Row],[L_Bn]],Tab_NewTRADER[[#This Row],[N]]),"#,#0")&amp;" x "&amp;TEXT(Tab_NewTRADER[[#This Row],[L_Bp]],"#,#0.#0")</f>
        <v>8,000 x -12.96</v>
      </c>
      <c r="AI59" s="1370">
        <f ca="1">IF(Tab_NewTRADER[[#This Row],[M]]&lt;_xlfn.XLOOKUP(Tab_NewTRADER[[#This Row],[ClickTick]],TabCalc[Ticker],TabCalc[Max_Buy_P]), 0,Tab_NewTRADER[[#This Row],[Sale_Back_$]])</f>
        <v>23714.182399999994</v>
      </c>
      <c r="AJ59" s="1370" t="str">
        <f ca="1">TEXT(Tab_NewTRADER[[#This Row],[L_Sn]],"#,#0")&amp;" ("&amp;Tab_NewTRADER[[#This Row],[M]]&amp;"/"&amp;TEXT(Tab_NewTRADER[[#This Row],[L_Sp]],"#,#0.#0)")</f>
        <v>4,000 (15.932/15.12)</v>
      </c>
      <c r="AK59" s="1370">
        <f ca="1">IF(Tab_NewTRADER[[#This Row],[M]]&lt;_xlfn.XLOOKUP(Tab_NewTRADER[[#This Row],[ClickTick]],TabCalc[Ticker],TabCalc[Max_Buy_P]), -Tab_NewTRADER[[#This Row],[Buy_Back]], 0)</f>
        <v>0</v>
      </c>
      <c r="AL59" s="1177" cm="1">
        <f t="array" aca="1" ref="AL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3239.5552000000043</v>
      </c>
      <c r="AM59" s="1177">
        <f ca="1">Tab_NewTRADER[[#This Row],[N]]*(Tab_NewTRADER[[#This Row],[M]]-Tab_NewTRADER[[#This Row],[A]])*(1-Commission)*Tab_NewTRADER[[#This Row],[Scale]]</f>
        <v>89890.874480000028</v>
      </c>
      <c r="AN59" s="1177">
        <f ca="1">Tab_NewTRADER[[#This Row],[M]]*Tab_NewTRADER[[#This Row],[N]]*(1-Commission)*Tab_NewTRADER[[#This Row],[Scale]]</f>
        <v>572060.7648</v>
      </c>
      <c r="AO59" s="1186" cm="1">
        <f t="array" aca="1" ref="AO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0.18642987935298586</v>
      </c>
      <c r="AP59" s="1186" cm="1">
        <f t="array" aca="1" ref="AP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4.8366608084358595E-2</v>
      </c>
      <c r="AQ59" s="825" cm="1">
        <f t="array" aca="1" ref="AQ59" ca="1">_xlfn.IFS(   Tab_NewTRADER[[#This Row],[Trap_vs_Last]]=SellMorePercentGain,                     MIN(Tab_NewTRADER[[#This Row],[L_Sn]],Tab_NewTRADER[[#This Row],[N]])*(Tab_NewTRADER[[#This Row],[M]]-Tab_NewTRADER[[#This Row],[L_Sp]])*(1-Commission)*Tab_NewTRADER[[#This Row],[Scale]],                    TRUE,"")</f>
        <v>3239.5552000000043</v>
      </c>
      <c r="AR59" s="1175">
        <f ca="1">_xlfn.XLOOKUP(Tab_NewTRADER[[#This Row],[ClickTick]],TabCalc[Ticker],TabCalc[Ann%RevLB])</f>
        <v>0.51276742581090395</v>
      </c>
      <c r="AS59" s="1282">
        <f ca="1">_xlfn.XLOOKUP(Tab_NewTRADER[[#This Row],[ClickTick]],TabCalc[Ticker],TabCalc[Up20])</f>
        <v>0</v>
      </c>
      <c r="AT59" s="310" t="str" cm="1">
        <f t="array" aca="1" ref="AT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9" s="825" t="str" cm="1">
        <f t="array" aca="1" ref="AU59" ca="1">_xlfn.IFS(         Tab_NewTRADER[[#This Row],[Trap_vs_Last]]=MDown,Tab_NewTRADER[[#This Row],[L_Bn]]*Tab_NewTRADER[[#This Row],[M]]*(-(Tab_NewTRADER[[#This Row],[L_Bp]]+Tab_NewTRADER[[#This Row],[M]])/Tab_NewTRADER[[#This Row],[M]])*(1-Commission)*Tab_NewTRADER[[#This Row],[Scale]],                               TRUE,"")</f>
        <v/>
      </c>
      <c r="AV59" s="1186" cm="1">
        <f t="array" aca="1" ref="AV59" ca="1">_xlfn.IFS(   Tab_NewTRADER[[#This Row],[Trap_vs_Last]]=MUp,Tab_NewTRADER[[#This Row],[TakeGain_A]]-Commission,        Tab_NewTRADER[[#This Row],[Trap_vs_Last]]=MDown,(Tab_NewTRADER[[#This Row],[A]]-Tab_NewTRADER[[#This Row],[M]])/Tab_NewTRADER[[#This Row],[M]]-Commission,                              TRUE,"")</f>
        <v>0.18382987935298586</v>
      </c>
      <c r="AW59" s="825" cm="1">
        <f t="array" aca="1" ref="AW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106649.21936424082</v>
      </c>
      <c r="AX59" s="760" t="str" cm="1">
        <f t="array" aca="1" ref="AX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59" s="736" t="str" cm="1">
        <f t="array" aca="1" ref="AY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8,000x2.5</v>
      </c>
      <c r="AZ59" s="765" cm="1">
        <f t="array" aca="1" ref="AZ59" ca="1">_xlfn.IFS(Tab_NewTRADER[[#This Row],[Trap_vs_Last]]=ReSaleGain,"",         Tab_NewTRADER[[#This Row],[Trap_vs_Last]]=MDown, (Tab_NewTRADER[[#This Row],[M]]-Tab_NewTRADER[[#This Row],[A]])/Tab_NewTRADER[[#This Row],[A]]*ComFactor,             TRUE, IFERROR((Tab_NewTRADER[[#This Row],[M]]-Tab_NewTRADER[[#This Row],[A]])/Tab_NewTRADER[[#This Row],[A]]*ComFactor,""))</f>
        <v>0.18594516166666808</v>
      </c>
      <c r="BA59" s="762" cm="1">
        <f t="array" aca="1" ref="BA59" ca="1">_xlfn.IFS(               Tab_NewTRADER[[#This Row],[Trap_vs_Last]]=NoStock,(Tab_NewTRADER[[#This Row],[L_Sp]]-Tab_NewTRADER[[#This Row],[M]])/Tab_NewTRADER[[#This Row],[M]]-Commission,             Tab_NewTRADER[[#This Row],[A]]&lt;&gt;0,(Tab_NewTRADER[[#This Row],[A]]-Tab_NewTRADER[[#This Row],[M]])/Tab_NewTRADER[[#This Row],[M]]-Commission)</f>
        <v>-0.15973518565012415</v>
      </c>
      <c r="BB59" s="324">
        <f ca="1">_xlfn.XLOOKUP(Tab_NewTRADER[[#This Row],[ClickTick]],TabCalc[Ticker],TabCalc[L_Sn])</f>
        <v>4000</v>
      </c>
      <c r="BC59" s="728">
        <f ca="1">_xlfn.XLOOKUP(Tab_NewTRADER[[#This Row],[ClickTick]],TabCalc[Ticker],TabCalc[L_Sp])</f>
        <v>15.12</v>
      </c>
      <c r="BD59" s="764">
        <f ca="1">-IFERROR((Tab_NewTRADER[[#This Row],[M]]-Tab_NewTRADER[[#This Row],[L_Sp]])/Tab_NewTRADER[[#This Row],[L_Sp]],0)</f>
        <v>-5.3703703703703781E-2</v>
      </c>
      <c r="BE59" s="729">
        <f ca="1">MIN(Tab_NewTRADER[[#This Row],[L_Sn]],Tab_NewTRADER[[#This Row],[N]])*(Tab_NewTRADER[[#This Row],[M]]-Tab_NewTRADER[[#This Row],[L_Sp]])*(1-Commission)*Tab_NewTRADER[[#This Row],[Scale]]</f>
        <v>3239.5552000000043</v>
      </c>
      <c r="BF59" s="692">
        <f ca="1">Tab_NewTRADER[[#This Row],[L_Sn]]*(Tab_NewTRADER[[#This Row],[Agiotage]]-Tab_NewTRADER[[#This Row],[M]])/(Tab_NewTRADER[[#This Row],[L_Bn]]*Tab_NewTRADER[[#This Row],[M]])</f>
        <v>-0.48128902818072467</v>
      </c>
      <c r="BG59" s="635">
        <f ca="1">IFERROR((Tab_NewTRADER[[#This Row],[M]]-Tab_NewTRADER[[#This Row],[A]])/Tab_NewTRADER[[#This Row],[A]],0)</f>
        <v>0.18642987935298586</v>
      </c>
      <c r="BH59" s="638" t="str">
        <f ca="1">TEXT(_xlfn.XLOOKUP(Tab_NewTRADER[[#This Row],[ClickTick]],TabCalc[Ticker],TabCalc[NAfter]),"#,#0")&amp;" : "&amp;TEXT(_xlfn.XLOOKUP(Tab_NewTRADER[[#This Row],[ClickTick]],TabCalc[Ticker],TabCalc[NAfter])*(Tab_NewTRADER[[#This Row],[M]]-Tab_NewTRADER[[#This Row],[A]])*(1-Commission)*Tab_NewTRADER[[#This Row],[Scale]],"#,#0$")</f>
        <v>36,000 : 89,891$</v>
      </c>
      <c r="BI59" s="684">
        <f ca="1">_xlfn.XLOOKUP(Tab_NewTRADER[[#This Row],[ClickTick]],TabCalc[[#This Row],[Ticker]],TabCalc[[#This Row],[GL]])*(1-Commission)</f>
        <v>74488.602777199936</v>
      </c>
      <c r="BJ59" s="684"/>
      <c r="BK59" s="669" t="str">
        <f ca="1">Tab_NewTRADER[[#This Row],[ClickTick]]&amp;": "&amp;_xlfn.XLOOKUP(Tab_NewTRADER[[#This Row],[ClickTick]],TabCalc[Ticker],TabCalc[Pile?])</f>
        <v xml:space="preserve">MVEENI: </v>
      </c>
      <c r="BL59" s="351" t="s">
        <v>1945</v>
      </c>
      <c r="BM59" s="755" t="str" cm="1">
        <f t="array" aca="1" ref="BM59" ca="1">_xlfn.TEXTJOIN("",,INDEX({"M","A","Y"}, _xlfn.SORTBY({1,2,3}, -CHOOSE({1,2,3}, Tab_NewTRADER[[#This Row],[M]], Tab_NewTRADER[[#This Row],[A]], Tab_NewTRADER[[#This Row],[Agiotage]]))))</f>
        <v>MAY</v>
      </c>
      <c r="BN59" s="909" cm="1">
        <f t="array" aca="1" ref="BN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5.0966608084358593E-2</v>
      </c>
      <c r="BO59" s="679">
        <f ca="1">Tab_NewTRADER[[#This Row],[L_Sn]]*Tab_NewTRADER[[#This Row],[L_Sp]]+Tab_NewTRADER[[#This Row],[SellMore]]*Tab_NewTRADER[[#This Row],[M]]</f>
        <v>92344</v>
      </c>
      <c r="BP59" s="679">
        <f ca="1">INDEX(
  INDEX(TabConsolid[], , _xlfn.XMATCH(Tab_NewTRADER[[#This Row],[ClickTick]]&amp;1, TabConsolid[#Headers])),
  MATCH(
    -Tab_NewTRADER[[#This Row],[M]],
    INDEX(TabConsolid[], , _xlfn.XMATCH(Tab_NewTRADER[[#This Row],[ClickTick]]&amp;2, TabConsolid[#Headers])),
    -1
  )
)</f>
        <v>2000</v>
      </c>
      <c r="BQ59" s="679" cm="1">
        <f t="array" aca="1" ref="BQ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59" s="1156">
        <f ca="1">Tab_NewTRADER[[#This Row],[ReBuy]]/(Tab_NewTRADER[[#This Row],[L_Sn]]+Tab_NewTRADER[[#This Row],[SellMore]])</f>
        <v>15.390666666666666</v>
      </c>
      <c r="BS59" s="687">
        <f ca="1">((_xlfn.XLOOKUP(Tab_NewTRADER[[#This Row],[ClickTick]],TabCalc[Ticker],TabCalc[NAfter])+Tab_NewTRADER[[#This Row],[L_Sn]])*(Tab_NewTRADER[[#This Row],[Agiotage]]-Tab_NewTRADER[[#This Row],[M]]))/(Tab_NewTRADER[[#This Row],[L_Sn]]*_xlfn.XLOOKUP(Tab_NewTRADER[[#This Row],[ClickTick]],TabCalc[Ticker],TabCalc[NAfter]))</f>
        <v>-4.2599426649862814E-3</v>
      </c>
      <c r="BT59" s="687">
        <f ca="1">(Tab_NewTRADER[[#This Row],[M]]-Tab_NewTRADER[[#This Row],[Agiotage]])/(Tab_NewTRADER[[#This Row],[M]]-Tab_NewTRADER[[#This Row],[A]])-1</f>
        <v>5.1257957750132253</v>
      </c>
      <c r="BU59" s="1277">
        <f ca="1">_xlfn.XMATCH(Tab_NewTRADER[[#This Row],[ClickTick]]&amp;1, TabConsolid[#Headers])</f>
        <v>173</v>
      </c>
      <c r="BV59" t="b">
        <f ca="1">IF(ABS(Tab_NewTRADER[[#This Row],[L_Bp]])&gt;=Tab_NewTRADER[[#This Row],[M]],"OK")</f>
        <v>0</v>
      </c>
    </row>
    <row r="60" spans="1:74"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43"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E60" s="1195" t="str" cm="1">
        <f t="array" aca="1" ref="AE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0" s="1177" t="str" cm="1">
        <f t="array" aca="1" ref="AF60" ca="1">_xlfn.IFS(       Tab_NewTRADER[[#This Row],[Trap_vs_Last]]=RePurchaseGain,TEXT(Tab_NewTRADER[[#This Row],[L_Sn]],"#,#0")&amp;" x "&amp;TEXT(Tab_NewTRADER[[#This Row],[L_Sp]],"#,#0.#0"),     Tab_NewTRADER[[#This Row],[Trap_vs_Last]]=ReSaleGain,Tab_NewTRADER[[#This Row],[ToSell]],               TRUE,"")</f>
        <v/>
      </c>
      <c r="AG60" s="1177" t="str" cm="1">
        <f t="array" aca="1" ref="AG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H60" s="1370" t="str">
        <f ca="1">TEXT(MIN(Tab_NewTRADER[[#This Row],[L_Bn]],Tab_NewTRADER[[#This Row],[N]]),"#,#0")&amp;" x "&amp;TEXT(Tab_NewTRADER[[#This Row],[L_Bp]],"#,#0.#0")</f>
        <v>10,000 x -1.72</v>
      </c>
      <c r="AI60" s="1370">
        <f ca="1">IF(Tab_NewTRADER[[#This Row],[M]]&lt;_xlfn.XLOOKUP(Tab_NewTRADER[[#This Row],[ClickTick]],TabCalc[Ticker],TabCalc[Max_Buy_P]), 0,Tab_NewTRADER[[#This Row],[Sale_Back_$]])</f>
        <v>0</v>
      </c>
      <c r="AJ60" s="1370" t="str">
        <f ca="1">TEXT(Tab_NewTRADER[[#This Row],[L_Sn]],"#,#0")&amp;" ("&amp;Tab_NewTRADER[[#This Row],[M]]&amp;"/"&amp;TEXT(Tab_NewTRADER[[#This Row],[L_Sp]],"#,#0.#0)")</f>
        <v>0 (0.2012/0.0)</v>
      </c>
      <c r="AK60" s="1370">
        <f ca="1">IF(Tab_NewTRADER[[#This Row],[M]]&lt;_xlfn.XLOOKUP(Tab_NewTRADER[[#This Row],[ClickTick]],TabCalc[Ticker],TabCalc[Max_Buy_P]), -Tab_NewTRADER[[#This Row],[Buy_Back]], 0)</f>
        <v>0</v>
      </c>
      <c r="AL60" s="1177" cm="1">
        <f t="array" aca="1" ref="AL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M60" s="1177">
        <f ca="1">Tab_NewTRADER[[#This Row],[N]]*(Tab_NewTRADER[[#This Row],[M]]-Tab_NewTRADER[[#This Row],[A]])*(1-Commission)*Tab_NewTRADER[[#This Row],[Scale]]</f>
        <v>-28571.121439999999</v>
      </c>
      <c r="AN60" s="1177">
        <f ca="1">Tab_NewTRADER[[#This Row],[M]]*Tab_NewTRADER[[#This Row],[N]]*(1-Commission)*Tab_NewTRADER[[#This Row],[Scale]]</f>
        <v>2408.1225599999998</v>
      </c>
      <c r="AO60" s="1186" cm="1">
        <f t="array" aca="1" ref="AO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P60" s="1186" cm="1">
        <f t="array" aca="1" ref="AP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Tab_NewTRADER[[#This Row],[Trap_vs_Last]]=SellMorePercentGain,                     MIN(Tab_NewTRADER[[#This Row],[L_Sn]],Tab_NewTRADER[[#This Row],[N]])*(Tab_NewTRADER[[#This Row],[M]]-Tab_NewTRADER[[#This Row],[L_Sp]])*(1-Commission)*Tab_NewTRADER[[#This Row],[Scale]],                    TRUE,"")</f>
        <v/>
      </c>
      <c r="AR60" s="1175">
        <f ca="1">_xlfn.XLOOKUP(Tab_NewTRADER[[#This Row],[ClickTick]],TabCalc[Ticker],TabCalc[Ann%RevLB])</f>
        <v>-1.1037790697674417</v>
      </c>
      <c r="AS60" s="1282">
        <f ca="1">_xlfn.XLOOKUP(Tab_NewTRADER[[#This Row],[ClickTick]],TabCalc[Ticker],TabCalc[Up20])</f>
        <v>0</v>
      </c>
      <c r="AT60" s="310" cm="1">
        <f t="array" aca="1" ref="AT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60" s="825" cm="1">
        <f t="array" aca="1" ref="AU60" ca="1">_xlfn.IFS(         Tab_NewTRADER[[#This Row],[Trap_vs_Last]]=MDown,Tab_NewTRADER[[#This Row],[L_Bn]]*Tab_NewTRADER[[#This Row],[M]]*(-(Tab_NewTRADER[[#This Row],[L_Bp]]+Tab_NewTRADER[[#This Row],[M]])/Tab_NewTRADER[[#This Row],[M]])*(1-Commission)*Tab_NewTRADER[[#This Row],[Scale]],                               TRUE,"")</f>
        <v>15148.511199999999</v>
      </c>
      <c r="AV60" s="1186" cm="1">
        <f t="array" aca="1" ref="AV60" ca="1">_xlfn.IFS(   Tab_NewTRADER[[#This Row],[Trap_vs_Last]]=MUp,Tab_NewTRADER[[#This Row],[TakeGain_A]]-Commission,        Tab_NewTRADER[[#This Row],[Trap_vs_Last]]=MDown,(Tab_NewTRADER[[#This Row],[A]]-Tab_NewTRADER[[#This Row],[M]])/Tab_NewTRADER[[#This Row],[M]]-Commission,                              TRUE,"")</f>
        <v>11.861879787939033</v>
      </c>
      <c r="AW60" s="825" cm="1">
        <f t="array" aca="1" ref="AW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X60" s="760" t="str" cm="1">
        <f t="array" aca="1" ref="AX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60" s="736" cm="1">
        <f t="array" aca="1" ref="AY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60" s="765" cm="1">
        <f t="array" aca="1" ref="AZ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A60" s="762" cm="1">
        <f t="array" aca="1" ref="BA60" ca="1">_xlfn.IFS(               Tab_NewTRADER[[#This Row],[Trap_vs_Last]]=NoStock,(Tab_NewTRADER[[#This Row],[L_Sp]]-Tab_NewTRADER[[#This Row],[M]])/Tab_NewTRADER[[#This Row],[M]]-Commission,             Tab_NewTRADER[[#This Row],[A]]&lt;&gt;0,(Tab_NewTRADER[[#This Row],[A]]-Tab_NewTRADER[[#This Row],[M]])/Tab_NewTRADER[[#This Row],[M]]-Commission)</f>
        <v>11.861879787939033</v>
      </c>
      <c r="BB60" s="324">
        <f ca="1">_xlfn.XLOOKUP(Tab_NewTRADER[[#This Row],[ClickTick]],TabCalc[Ticker],TabCalc[L_Sn])</f>
        <v>0</v>
      </c>
      <c r="BC60" s="728">
        <f ca="1">_xlfn.XLOOKUP(Tab_NewTRADER[[#This Row],[ClickTick]],TabCalc[Ticker],TabCalc[L_Sp])</f>
        <v>0</v>
      </c>
      <c r="BD60" s="764">
        <f ca="1">-IFERROR((Tab_NewTRADER[[#This Row],[M]]-Tab_NewTRADER[[#This Row],[L_Sp]])/Tab_NewTRADER[[#This Row],[L_Sp]],0)</f>
        <v>0</v>
      </c>
      <c r="BE60" s="729">
        <f ca="1">MIN(Tab_NewTRADER[[#This Row],[L_Sn]],Tab_NewTRADER[[#This Row],[N]])*(Tab_NewTRADER[[#This Row],[M]]-Tab_NewTRADER[[#This Row],[L_Sp]])*(1-Commission)*Tab_NewTRADER[[#This Row],[Scale]]</f>
        <v>0</v>
      </c>
      <c r="BF60" s="692">
        <f ca="1">Tab_NewTRADER[[#This Row],[L_Sn]]*(Tab_NewTRADER[[#This Row],[Agiotage]]-Tab_NewTRADER[[#This Row],[M]])/(Tab_NewTRADER[[#This Row],[L_Bn]]*Tab_NewTRADER[[#This Row],[M]])</f>
        <v>0</v>
      </c>
      <c r="BG60" s="635">
        <f ca="1">IFERROR((Tab_NewTRADER[[#This Row],[M]]-Tab_NewTRADER[[#This Row],[A]])/Tab_NewTRADER[[#This Row],[A]],0)</f>
        <v>-0.92226658081133284</v>
      </c>
      <c r="BH60" s="638" t="str">
        <f ca="1">TEXT(_xlfn.XLOOKUP(Tab_NewTRADER[[#This Row],[ClickTick]],TabCalc[Ticker],TabCalc[NAfter]),"#,#0")&amp;" : "&amp;TEXT(_xlfn.XLOOKUP(Tab_NewTRADER[[#This Row],[ClickTick]],TabCalc[Ticker],TabCalc[NAfter])*(Tab_NewTRADER[[#This Row],[M]]-Tab_NewTRADER[[#This Row],[A]])*(1-Commission)*Tab_NewTRADER[[#This Row],[Scale]],"#,#0$")</f>
        <v>12,000 : -28,571$</v>
      </c>
      <c r="BI60" s="684">
        <f ca="1">_xlfn.XLOOKUP(Tab_NewTRADER[[#This Row],[ClickTick]],TabCalc[[#This Row],[Ticker]],TabCalc[[#This Row],[GL]])*(1-Commission)</f>
        <v>-28571.121439999999</v>
      </c>
      <c r="BJ60" s="684"/>
      <c r="BK60" s="669" t="str">
        <f ca="1">Tab_NewTRADER[[#This Row],[ClickTick]]&amp;": "&amp;_xlfn.XLOOKUP(Tab_NewTRADER[[#This Row],[ClickTick]],TabCalc[Ticker],TabCalc[Pile?])</f>
        <v>MVEEPIX: Pile</v>
      </c>
      <c r="BL60" s="351" t="s">
        <v>1950</v>
      </c>
      <c r="BM60" s="755" t="str" cm="1">
        <f t="array" aca="1" ref="BM60" ca="1">_xlfn.TEXTJOIN("",,INDEX({"M","A","Y"}, _xlfn.SORTBY({1,2,3}, -CHOOSE({1,2,3}, Tab_NewTRADER[[#This Row],[M]], Tab_NewTRADER[[#This Row],[A]], Tab_NewTRADER[[#This Row],[Agiotage]]))))</f>
        <v>AYM</v>
      </c>
      <c r="BN60" s="909" cm="1">
        <f t="array" aca="1" ref="BN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60" s="679" t="e">
        <f ca="1">Tab_NewTRADER[[#This Row],[L_Sn]]*Tab_NewTRADER[[#This Row],[L_Sp]]+Tab_NewTRADER[[#This Row],[SellMore]]*Tab_NewTRADER[[#This Row],[M]]</f>
        <v>#N/A</v>
      </c>
      <c r="BP60" s="679" t="e">
        <f ca="1">INDEX(
  INDEX(TabConsolid[], , _xlfn.XMATCH(Tab_NewTRADER[[#This Row],[ClickTick]]&amp;1, TabConsolid[#Headers])),
  MATCH(
    -Tab_NewTRADER[[#This Row],[M]],
    INDEX(TabConsolid[], , _xlfn.XMATCH(Tab_NewTRADER[[#This Row],[ClickTick]]&amp;2, TabConsolid[#Headers])),
    -1
  )
)</f>
        <v>#N/A</v>
      </c>
      <c r="BQ60" s="679" cm="1">
        <f t="array" aca="1" ref="BQ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60" s="1156" t="e">
        <f ca="1">Tab_NewTRADER[[#This Row],[ReBuy]]/(Tab_NewTRADER[[#This Row],[L_Sn]]+Tab_NewTRADER[[#This Row],[SellMore]])</f>
        <v>#N/A</v>
      </c>
      <c r="BS60" s="687" t="e">
        <f ca="1">((_xlfn.XLOOKUP(Tab_NewTRADER[[#This Row],[ClickTick]],TabCalc[Ticker],TabCalc[NAfter])+Tab_NewTRADER[[#This Row],[L_Sn]])*(Tab_NewTRADER[[#This Row],[Agiotage]]-Tab_NewTRADER[[#This Row],[M]]))/(Tab_NewTRADER[[#This Row],[L_Sn]]*_xlfn.XLOOKUP(Tab_NewTRADER[[#This Row],[ClickTick]],TabCalc[Ticker],TabCalc[NAfter]))</f>
        <v>#DIV/0!</v>
      </c>
      <c r="BT60" s="687">
        <f ca="1">(Tab_NewTRADER[[#This Row],[M]]-Tab_NewTRADER[[#This Row],[Agiotage]])/(Tab_NewTRADER[[#This Row],[M]]-Tab_NewTRADER[[#This Row],[A]])-1</f>
        <v>-0.30834361903799523</v>
      </c>
      <c r="BU60" s="1277">
        <f ca="1">_xlfn.XMATCH(Tab_NewTRADER[[#This Row],[ClickTick]]&amp;1, TabConsolid[#Headers])</f>
        <v>176</v>
      </c>
      <c r="BV60" t="str">
        <f ca="1">IF(ABS(Tab_NewTRADER[[#This Row],[L_Bp]])&gt;=Tab_NewTRADER[[#This Row],[M]],"OK")</f>
        <v>OK</v>
      </c>
    </row>
    <row r="61" spans="1:74"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+620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-80$</v>
      </c>
      <c r="G61" s="225" t="str">
        <f ca="1">IFERROR(TRUNC(_xlfn.XLOOKUP(Tab_NewTRADER[[#This Row],[ClickTick]],TabCalc[Ticker],ListLastSalep),2)&amp;"x"&amp;_xlfn.XLOOKUP(Tab_NewTRADER[[#This Row],[ClickTick]],TabCalc[Ticker],ListLastSalen)&amp;"=   "&amp;TEXT(-_xlfn.XLOOKUP(Tab_NewTRADER[[#This Row],[ClickTick]],TabCalc[Ticker],ListReverseB),"#,#0")&amp;"$","")</f>
        <v>47.47x1000=   7,170$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13.1% = 0</v>
      </c>
      <c r="I61" s="226" t="str">
        <f ca="1">IFERROR(TRUNC(TabCalc[[#This Row],[L_S1p]],2)&amp;"x"&amp;TabCalc[[#This Row],[L_S1n]]&amp;"=   "&amp;TEXT(TabCalc[[#This Row],[ReverseB1]],"#,#0"),"")</f>
        <v>45.76x1000=   -8,880</v>
      </c>
      <c r="J61" s="295">
        <f ca="1">_xlfn.XLOOKUP(Tab_NewTRADER[[#This Row],[ClickTick]],TabCalc[Ticker],ListGravity)</f>
        <v>1.1838599926793558</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0.71645315441424917</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1.1477230655312799E-2</v>
      </c>
      <c r="S61" s="683">
        <f ca="1">_xlfn.XLOOKUP(Tab_NewTRADER[[#This Row],[ClickTick]],TabCalc[Ticker],TabCalc[Rev(MinStock)])*(1-Commission)</f>
        <v>618.38799999999753</v>
      </c>
      <c r="T61" s="782">
        <f ca="1">_xlfn.XLOOKUP(Tab_NewTRADER[[#This Row],[ClickTick]],TabCalc[Ticker],TabCalc[Agiotage])</f>
        <v>0.71645315441424917</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-10,080/-10,080=&gt;-2.1% / -2.1%</v>
      </c>
      <c r="V61" s="739" t="str">
        <f ca="1">_xlfn.XLOOKUP(Tab_NewTRADER[[#This Row],[ClickTick]],[1]!RTData[Ticker_Symbol],[1]!RTData[Currency])</f>
        <v>EUR</v>
      </c>
      <c r="W61" s="749">
        <f ca="1">_xlfn.XLOOKUP(Tab_NewTRADER[[#This Row],[ClickTick]],TabCalc[Ticker],TabCalc[M])</f>
        <v>54.64</v>
      </c>
      <c r="X61" s="1343"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 382 K$</v>
      </c>
      <c r="AE61" s="1195" t="str" cm="1">
        <f t="array" aca="1" ref="AE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61" s="1177" t="str" cm="1">
        <f t="array" aca="1" ref="AF61" ca="1">_xlfn.IFS(       Tab_NewTRADER[[#This Row],[Trap_vs_Last]]=RePurchaseGain,TEXT(Tab_NewTRADER[[#This Row],[L_Sn]],"#,#0")&amp;" x "&amp;TEXT(Tab_NewTRADER[[#This Row],[L_Sp]],"#,#0.#0"),     Tab_NewTRADER[[#This Row],[Trap_vs_Last]]=ReSaleGain,Tab_NewTRADER[[#This Row],[ToSell]],               TRUE,"")</f>
        <v>1,000 x -54.02</v>
      </c>
      <c r="AG61" s="1177" cm="1">
        <f t="array" aca="1" ref="AG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618.38799999999753</v>
      </c>
      <c r="AH61" s="1370" t="str">
        <f ca="1">TEXT(MIN(Tab_NewTRADER[[#This Row],[L_Bn]],Tab_NewTRADER[[#This Row],[N]]),"#,#0")&amp;" x "&amp;TEXT(Tab_NewTRADER[[#This Row],[L_Bp]],"#,#0.#0")</f>
        <v>1,000 x -54.02</v>
      </c>
      <c r="AI61" s="1370">
        <f ca="1">IF(Tab_NewTRADER[[#This Row],[M]]&lt;_xlfn.XLOOKUP(Tab_NewTRADER[[#This Row],[ClickTick]],TabCalc[Ticker],TabCalc[Max_Buy_P]), 0,Tab_NewTRADER[[#This Row],[Sale_Back_$]])</f>
        <v>0</v>
      </c>
      <c r="AJ61" s="1370" t="str">
        <f ca="1">TEXT(Tab_NewTRADER[[#This Row],[L_Sn]],"#,#0")&amp;" ("&amp;Tab_NewTRADER[[#This Row],[M]]&amp;"/"&amp;TEXT(Tab_NewTRADER[[#This Row],[L_Sp]],"#,#0.#0)")</f>
        <v>1,000 (54.64/47.47)</v>
      </c>
      <c r="AK61" s="1370">
        <f ca="1">IF(Tab_NewTRADER[[#This Row],[M]]&lt;_xlfn.XLOOKUP(Tab_NewTRADER[[#This Row],[ClickTick]],TabCalc[Ticker],TabCalc[Max_Buy_P]), -Tab_NewTRADER[[#This Row],[Buy_Back]], 0)</f>
        <v>-7151.3580000000011</v>
      </c>
      <c r="AL61" s="1177" t="str" cm="1">
        <f t="array" aca="1" ref="AL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1" s="1177">
        <f ca="1">Tab_NewTRADER[[#This Row],[N]]*(Tab_NewTRADER[[#This Row],[M]]-Tab_NewTRADER[[#This Row],[A]])*(1-Commission)*Tab_NewTRADER[[#This Row],[Scale]]</f>
        <v>-7126.4229999999889</v>
      </c>
      <c r="AN61" s="1177">
        <f ca="1">Tab_NewTRADER[[#This Row],[M]]*Tab_NewTRADER[[#This Row],[N]]*(1-Commission)*Tab_NewTRADER[[#This Row],[Scale]]</f>
        <v>381485.55199999997</v>
      </c>
      <c r="AO61" s="1186" cm="1">
        <f t="array" aca="1" ref="AO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1.1477230655312799E-2</v>
      </c>
      <c r="AP61" s="1186" t="str" cm="1">
        <f t="array" aca="1" ref="AP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Tab_NewTRADER[[#This Row],[Trap_vs_Last]]=SellMorePercentGain,                     MIN(Tab_NewTRADER[[#This Row],[L_Sn]],Tab_NewTRADER[[#This Row],[N]])*(Tab_NewTRADER[[#This Row],[M]]-Tab_NewTRADER[[#This Row],[L_Sp]])*(1-Commission)*Tab_NewTRADER[[#This Row],[Scale]],                    TRUE,"")</f>
        <v/>
      </c>
      <c r="AR61" s="1192">
        <f ca="1">_xlfn.XLOOKUP(Tab_NewTRADER[[#This Row],[ClickTick]],TabCalc[Ticker],TabCalc[Ann%RevLB])</f>
        <v>0.19675252551964797</v>
      </c>
      <c r="AS61" s="1281">
        <f ca="1">_xlfn.XLOOKUP(Tab_NewTRADER[[#This Row],[ClickTick]],TabCalc[Ticker],TabCalc[Up20])</f>
        <v>0</v>
      </c>
      <c r="AT61" s="310" t="str" cm="1">
        <f t="array" aca="1" ref="AT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1" s="825" t="str" cm="1">
        <f t="array" aca="1" ref="AU61" ca="1">_xlfn.IFS(         Tab_NewTRADER[[#This Row],[Trap_vs_Last]]=MDown,Tab_NewTRADER[[#This Row],[L_Bn]]*Tab_NewTRADER[[#This Row],[M]]*(-(Tab_NewTRADER[[#This Row],[L_Bp]]+Tab_NewTRADER[[#This Row],[M]])/Tab_NewTRADER[[#This Row],[M]])*(1-Commission)*Tab_NewTRADER[[#This Row],[Scale]],                               TRUE,"")</f>
        <v/>
      </c>
      <c r="AV61" s="1186" t="str" cm="1">
        <f t="array" aca="1" ref="AV61" ca="1">_xlfn.IFS(   Tab_NewTRADER[[#This Row],[Trap_vs_Last]]=MUp,Tab_NewTRADER[[#This Row],[TakeGain_A]]-Commission,        Tab_NewTRADER[[#This Row],[Trap_vs_Last]]=MDown,(Tab_NewTRADER[[#This Row],[A]]-Tab_NewTRADER[[#This Row],[M]])/Tab_NewTRADER[[#This Row],[M]]-Commission,                              TRUE,"")</f>
        <v/>
      </c>
      <c r="AW61" s="825" cm="1">
        <f t="array" aca="1" ref="AW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-6995.7376170420166</v>
      </c>
      <c r="AX61" s="760" t="str" cm="1">
        <f t="array" aca="1" ref="AX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61" s="736" t="str" cm="1">
        <f t="array" aca="1" ref="AY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61" s="765" t="str" cm="1">
        <f t="array" aca="1" ref="AZ61" ca="1">_xlfn.IFS(Tab_NewTRADER[[#This Row],[Trap_vs_Last]]=ReSaleGain,"",         Tab_NewTRADER[[#This Row],[Trap_vs_Last]]=MDown, (Tab_NewTRADER[[#This Row],[M]]-Tab_NewTRADER[[#This Row],[A]])/Tab_NewTRADER[[#This Row],[A]]*ComFactor,             TRUE, IFERROR((Tab_NewTRADER[[#This Row],[M]]-Tab_NewTRADER[[#This Row],[A]])/Tab_NewTRADER[[#This Row],[A]]*ComFactor,""))</f>
        <v/>
      </c>
      <c r="BA61" s="762" cm="1">
        <f t="array" aca="1" ref="BA61" ca="1">_xlfn.IFS(               Tab_NewTRADER[[#This Row],[Trap_vs_Last]]=NoStock,(Tab_NewTRADER[[#This Row],[L_Sp]]-Tab_NewTRADER[[#This Row],[M]])/Tab_NewTRADER[[#This Row],[M]]-Commission,             Tab_NewTRADER[[#This Row],[A]]&lt;&gt;0,(Tab_NewTRADER[[#This Row],[A]]-Tab_NewTRADER[[#This Row],[M]])/Tab_NewTRADER[[#This Row],[M]]-Commission)</f>
        <v>1.608071533152057E-2</v>
      </c>
      <c r="BB61" s="324">
        <f ca="1">_xlfn.XLOOKUP(Tab_NewTRADER[[#This Row],[ClickTick]],TabCalc[Ticker],TabCalc[L_Sn])</f>
        <v>1000</v>
      </c>
      <c r="BC61" s="728">
        <f ca="1">_xlfn.XLOOKUP(Tab_NewTRADER[[#This Row],[ClickTick]],TabCalc[Ticker],TabCalc[L_Sp])</f>
        <v>47.47</v>
      </c>
      <c r="BD61" s="764">
        <f ca="1">-IFERROR((Tab_NewTRADER[[#This Row],[M]]-Tab_NewTRADER[[#This Row],[L_Sp]])/Tab_NewTRADER[[#This Row],[L_Sp]],0)</f>
        <v>-0.15104276385085322</v>
      </c>
      <c r="BE61" s="729">
        <f ca="1">MIN(Tab_NewTRADER[[#This Row],[L_Sn]],Tab_NewTRADER[[#This Row],[N]])*(Tab_NewTRADER[[#This Row],[M]]-Tab_NewTRADER[[#This Row],[L_Sp]])*(1-Commission)*Tab_NewTRADER[[#This Row],[Scale]]</f>
        <v>7151.3580000000011</v>
      </c>
      <c r="BF61" s="692">
        <f ca="1">Tab_NewTRADER[[#This Row],[L_Sn]]*(Tab_NewTRADER[[#This Row],[Agiotage]]-Tab_NewTRADER[[#This Row],[M]])/(Tab_NewTRADER[[#This Row],[L_Bn]]*Tab_NewTRADER[[#This Row],[M]])</f>
        <v>-0.98688775339651824</v>
      </c>
      <c r="BG61" s="635">
        <f ca="1">IFERROR((Tab_NewTRADER[[#This Row],[M]]-Tab_NewTRADER[[#This Row],[A]])/Tab_NewTRADER[[#This Row],[A]],0)</f>
        <v>-1.8338145652871323E-2</v>
      </c>
      <c r="BH61" s="638" t="str">
        <f ca="1">TEXT(_xlfn.XLOOKUP(Tab_NewTRADER[[#This Row],[ClickTick]],TabCalc[Ticker],TabCalc[NAfter]),"#,#0")&amp;" : "&amp;TEXT(_xlfn.XLOOKUP(Tab_NewTRADER[[#This Row],[ClickTick]],TabCalc[Ticker],TabCalc[NAfter])*(Tab_NewTRADER[[#This Row],[M]]-Tab_NewTRADER[[#This Row],[A]])*(1-Commission)*Tab_NewTRADER[[#This Row],[Scale]],"#,#0$")</f>
        <v>7,000 : -7,126$</v>
      </c>
      <c r="BI61" s="684">
        <f ca="1">_xlfn.XLOOKUP(Tab_NewTRADER[[#This Row],[ClickTick]],TabCalc[[#This Row],[Ticker]],TabCalc[[#This Row],[GL]])*(1-Commission)</f>
        <v>85665.738469999982</v>
      </c>
      <c r="BJ61" s="684"/>
      <c r="BK61" s="669" t="str">
        <f ca="1">Tab_NewTRADER[[#This Row],[ClickTick]]&amp;": "&amp;_xlfn.XLOOKUP(Tab_NewTRADER[[#This Row],[ClickTick]],TabCalc[Ticker],TabCalc[Pile?])</f>
        <v>MVEGLE: Pile</v>
      </c>
      <c r="BL61" s="351" t="s">
        <v>1951</v>
      </c>
      <c r="BM61" s="755" t="str" cm="1">
        <f t="array" aca="1" ref="BM61" ca="1">_xlfn.TEXTJOIN("",,INDEX({"M","A","Y"}, _xlfn.SORTBY({1,2,3}, -CHOOSE({1,2,3}, Tab_NewTRADER[[#This Row],[M]], Tab_NewTRADER[[#This Row],[A]], Tab_NewTRADER[[#This Row],[Agiotage]]))))</f>
        <v>AMY</v>
      </c>
      <c r="BN61" s="909" t="str" cm="1">
        <f t="array" aca="1" ref="BN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1" s="679" t="e">
        <f ca="1">Tab_NewTRADER[[#This Row],[L_Sn]]*Tab_NewTRADER[[#This Row],[L_Sp]]+Tab_NewTRADER[[#This Row],[SellMore]]*Tab_NewTRADER[[#This Row],[M]]</f>
        <v>#N/A</v>
      </c>
      <c r="BP61" s="679" t="e">
        <f ca="1">INDEX(
  INDEX(TabConsolid[], , _xlfn.XMATCH(Tab_NewTRADER[[#This Row],[ClickTick]]&amp;1, TabConsolid[#Headers])),
  MATCH(
    -Tab_NewTRADER[[#This Row],[M]],
    INDEX(TabConsolid[], , _xlfn.XMATCH(Tab_NewTRADER[[#This Row],[ClickTick]]&amp;2, TabConsolid[#Headers])),
    -1
  )
)</f>
        <v>#N/A</v>
      </c>
      <c r="BQ61" s="679" cm="1">
        <f t="array" aca="1" ref="BQ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61" s="1156" t="e">
        <f ca="1">Tab_NewTRADER[[#This Row],[ReBuy]]/(Tab_NewTRADER[[#This Row],[L_Sn]]+Tab_NewTRADER[[#This Row],[SellMore]])</f>
        <v>#N/A</v>
      </c>
      <c r="BS61" s="687">
        <f ca="1">((_xlfn.XLOOKUP(Tab_NewTRADER[[#This Row],[ClickTick]],TabCalc[Ticker],TabCalc[NAfter])+Tab_NewTRADER[[#This Row],[L_Sn]])*(Tab_NewTRADER[[#This Row],[Agiotage]]-Tab_NewTRADER[[#This Row],[M]]))/(Tab_NewTRADER[[#This Row],[L_Sn]]*_xlfn.XLOOKUP(Tab_NewTRADER[[#This Row],[ClickTick]],TabCalc[Ticker],TabCalc[NAfter]))</f>
        <v>-6.1626910680669438E-2</v>
      </c>
      <c r="BT61" s="687">
        <f ca="1">(Tab_NewTRADER[[#This Row],[M]]-Tab_NewTRADER[[#This Row],[Agiotage]])/(Tab_NewTRADER[[#This Row],[M]]-Tab_NewTRADER[[#This Row],[A]])-1</f>
        <v>-53.829227140531962</v>
      </c>
      <c r="BU61" s="1277">
        <f ca="1">_xlfn.XMATCH(Tab_NewTRADER[[#This Row],[ClickTick]]&amp;1, TabConsolid[#Headers])</f>
        <v>179</v>
      </c>
      <c r="BV61" t="b">
        <f ca="1">IF(ABS(Tab_NewTRADER[[#This Row],[L_Bp]])&gt;=Tab_NewTRADER[[#This Row],[M]],"OK")</f>
        <v>0</v>
      </c>
    </row>
    <row r="62" spans="1:74"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-555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5,850$</v>
      </c>
      <c r="G62" s="225" t="str">
        <f ca="1">IFERROR(TRUNC(_xlfn.XLOOKUP(Tab_NewTRADER[[#This Row],[ClickTick]],TabCalc[Ticker],ListLastSalep),2)&amp;"x"&amp;_xlfn.XLOOKUP(Tab_NewTRADER[[#This Row],[ClickTick]],TabCalc[Ticker],ListLastSalen)&amp;"=   "&amp;TEXT(-_xlfn.XLOOKUP(Tab_NewTRADER[[#This Row],[ClickTick]],TabCalc[Ticker],ListReverseB),"#,#0")&amp;"$","")</f>
        <v>13.74x1200=   504$</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0</v>
      </c>
      <c r="I62" s="226" t="str">
        <f ca="1">IFERROR(TRUNC(TabCalc[[#This Row],[L_S1p]],2)&amp;"x"&amp;TabCalc[[#This Row],[L_S1n]]&amp;"=   "&amp;TEXT(TabCalc[[#This Row],[ReverseB1]],"#,#0"),"")</f>
        <v>13.93x2000=   -470</v>
      </c>
      <c r="J62" s="295">
        <f ca="1">_xlfn.XLOOKUP(Tab_NewTRADER[[#This Row],[ClickTick]],TabCalc[Ticker],ListGravity)</f>
        <v>1.0816957289092834</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177062.5</v>
      </c>
      <c r="M62" s="323">
        <f ca="1">_xlfn.XLOOKUP(Tab_NewTRADER[[#This Row],[ClickTick]],TabCalc[Ticker],TabCalc[Agiotage])</f>
        <v>1.0808883296742351</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-1.2891986062717804E-2</v>
      </c>
      <c r="S62" s="683">
        <f ca="1">_xlfn.XLOOKUP(Tab_NewTRADER[[#This Row],[ClickTick]],TabCalc[Ticker],TabCalc[Rev(MinStock)])*(1-Commission)</f>
        <v>-553.55700000000149</v>
      </c>
      <c r="T62" s="782">
        <f ca="1">_xlfn.XLOOKUP(Tab_NewTRADER[[#This Row],[ClickTick]],TabCalc[Ticker],TabCalc[Agiotage])</f>
        <v>1.0808883296742351</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4,257/4,257=&gt;1.6% / 1.6%</v>
      </c>
      <c r="V62" s="739" t="str">
        <f ca="1">_xlfn.XLOOKUP(Tab_NewTRADER[[#This Row],[ClickTick]],[1]!RTData[Ticker_Symbol],[1]!RTData[Currency])</f>
        <v>EUR</v>
      </c>
      <c r="W62" s="749">
        <f ca="1">_xlfn.XLOOKUP(Tab_NewTRADER[[#This Row],[ClickTick]],TabCalc[Ticker],TabCalc[M])</f>
        <v>14.164999999999999</v>
      </c>
      <c r="X62" s="1343"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^102 / 280 K$</v>
      </c>
      <c r="AE62" s="1195" t="str" cm="1">
        <f t="array" aca="1" ref="AE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2" s="1177" t="str" cm="1">
        <f t="array" aca="1" ref="AF62" ca="1">_xlfn.IFS(       Tab_NewTRADER[[#This Row],[Trap_vs_Last]]=RePurchaseGain,TEXT(Tab_NewTRADER[[#This Row],[L_Sn]],"#,#0")&amp;" x "&amp;TEXT(Tab_NewTRADER[[#This Row],[L_Sp]],"#,#0.#0"),     Tab_NewTRADER[[#This Row],[Trap_vs_Last]]=ReSaleGain,Tab_NewTRADER[[#This Row],[ToSell]],               TRUE,"")</f>
        <v/>
      </c>
      <c r="AG62" s="1177" t="str" cm="1">
        <f t="array" aca="1" ref="AG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H62" s="1370" t="str">
        <f ca="1">TEXT(MIN(Tab_NewTRADER[[#This Row],[L_Bn]],Tab_NewTRADER[[#This Row],[N]]),"#,#0")&amp;" x "&amp;TEXT(Tab_NewTRADER[[#This Row],[L_Bp]],"#,#0.#0")</f>
        <v>3,000 x -14.35</v>
      </c>
      <c r="AI62" s="1370">
        <f ca="1">IF(Tab_NewTRADER[[#This Row],[M]]&lt;_xlfn.XLOOKUP(Tab_NewTRADER[[#This Row],[ClickTick]],TabCalc[Ticker],TabCalc[Max_Buy_P]), 0,Tab_NewTRADER[[#This Row],[Sale_Back_$]])</f>
        <v>0</v>
      </c>
      <c r="AJ62" s="1370" t="str">
        <f ca="1">TEXT(Tab_NewTRADER[[#This Row],[L_Sn]],"#,#0")&amp;" ("&amp;Tab_NewTRADER[[#This Row],[M]]&amp;"/"&amp;TEXT(Tab_NewTRADER[[#This Row],[L_Sp]],"#,#0.#0)")</f>
        <v>1,200 (14.165/13.75)</v>
      </c>
      <c r="AK62" s="1370">
        <f ca="1">IF(Tab_NewTRADER[[#This Row],[M]]&lt;_xlfn.XLOOKUP(Tab_NewTRADER[[#This Row],[ClickTick]],TabCalc[Ticker],TabCalc[Max_Buy_P]), -Tab_NewTRADER[[#This Row],[Buy_Back]], 0)</f>
        <v>-502.68959999999987</v>
      </c>
      <c r="AL62" s="1177" cm="1">
        <f t="array" aca="1" ref="AL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502.68959999999987</v>
      </c>
      <c r="AM62" s="1177">
        <f ca="1">Tab_NewTRADER[[#This Row],[N]]*(Tab_NewTRADER[[#This Row],[M]]-Tab_NewTRADER[[#This Row],[A]])*(1-Commission)*Tab_NewTRADER[[#This Row],[Scale]]</f>
        <v>40487.458199999979</v>
      </c>
      <c r="AN62" s="1177">
        <f ca="1">Tab_NewTRADER[[#This Row],[M]]*Tab_NewTRADER[[#This Row],[N]]*(1-Commission)*Tab_NewTRADER[[#This Row],[Scale]]</f>
        <v>279737.78580000001</v>
      </c>
      <c r="AO62" s="1186" cm="1">
        <f t="array" aca="1" ref="AO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0.16922634383051091</v>
      </c>
      <c r="AP62" s="1186" cm="1">
        <f t="array" aca="1" ref="AP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2.7050547123190959E-2</v>
      </c>
      <c r="AQ62" s="825" cm="1">
        <f t="array" aca="1" ref="AQ62" ca="1">_xlfn.IFS(   Tab_NewTRADER[[#This Row],[Trap_vs_Last]]=SellMorePercentGain,                     MIN(Tab_NewTRADER[[#This Row],[L_Sn]],Tab_NewTRADER[[#This Row],[N]])*(Tab_NewTRADER[[#This Row],[M]]-Tab_NewTRADER[[#This Row],[L_Sp]])*(1-Commission)*Tab_NewTRADER[[#This Row],[Scale]],                    TRUE,"")</f>
        <v>502.68959999999987</v>
      </c>
      <c r="AR62" s="1192">
        <f ca="1">_xlfn.XLOOKUP(Tab_NewTRADER[[#This Row],[ClickTick]],TabCalc[Ticker],TabCalc[Ann%RevLB])</f>
        <v>-5.525136884021916E-2</v>
      </c>
      <c r="AS62" s="1281">
        <f ca="1">_xlfn.XLOOKUP(Tab_NewTRADER[[#This Row],[ClickTick]],TabCalc[Ticker],TabCalc[Up20])</f>
        <v>0</v>
      </c>
      <c r="AT62" s="310" t="str" cm="1">
        <f t="array" aca="1" ref="AT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2" s="825" t="str" cm="1">
        <f t="array" aca="1" ref="AU62" ca="1">_xlfn.IFS(         Tab_NewTRADER[[#This Row],[Trap_vs_Last]]=MDown,Tab_NewTRADER[[#This Row],[L_Bn]]*Tab_NewTRADER[[#This Row],[M]]*(-(Tab_NewTRADER[[#This Row],[L_Bp]]+Tab_NewTRADER[[#This Row],[M]])/Tab_NewTRADER[[#This Row],[M]])*(1-Commission)*Tab_NewTRADER[[#This Row],[Scale]],                               TRUE,"")</f>
        <v/>
      </c>
      <c r="AV62" s="1186" cm="1">
        <f t="array" aca="1" ref="AV62" ca="1">_xlfn.IFS(   Tab_NewTRADER[[#This Row],[Trap_vs_Last]]=MUp,Tab_NewTRADER[[#This Row],[TakeGain_A]]-Commission,        Tab_NewTRADER[[#This Row],[Trap_vs_Last]]=MDown,(Tab_NewTRADER[[#This Row],[A]]-Tab_NewTRADER[[#This Row],[M]])/Tab_NewTRADER[[#This Row],[M]]-Commission,                              TRUE,"")</f>
        <v>0.16662634383051092</v>
      </c>
      <c r="AW62" s="825" cm="1">
        <f t="array" aca="1" ref="AW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47339.002722176607</v>
      </c>
      <c r="AX62" s="760" t="str" cm="1">
        <f t="array" aca="1" ref="AX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62" s="736" t="str" cm="1">
        <f t="array" aca="1" ref="AY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3,000x2.05</v>
      </c>
      <c r="AZ62" s="765" cm="1">
        <f t="array" aca="1" ref="AZ62" ca="1">_xlfn.IFS(Tab_NewTRADER[[#This Row],[Trap_vs_Last]]=ReSaleGain,"",         Tab_NewTRADER[[#This Row],[Trap_vs_Last]]=MDown, (Tab_NewTRADER[[#This Row],[M]]-Tab_NewTRADER[[#This Row],[A]])/Tab_NewTRADER[[#This Row],[A]]*ComFactor,             TRUE, IFERROR((Tab_NewTRADER[[#This Row],[M]]-Tab_NewTRADER[[#This Row],[A]])/Tab_NewTRADER[[#This Row],[A]]*ComFactor,""))</f>
        <v>0.16878635533655156</v>
      </c>
      <c r="BA62" s="762" cm="1">
        <f t="array" aca="1" ref="BA62" ca="1">_xlfn.IFS(               Tab_NewTRADER[[#This Row],[Trap_vs_Last]]=NoStock,(Tab_NewTRADER[[#This Row],[L_Sp]]-Tab_NewTRADER[[#This Row],[M]])/Tab_NewTRADER[[#This Row],[M]]-Commission,             Tab_NewTRADER[[#This Row],[A]]&lt;&gt;0,(Tab_NewTRADER[[#This Row],[A]]-Tab_NewTRADER[[#This Row],[M]])/Tab_NewTRADER[[#This Row],[M]]-Commission)</f>
        <v>-0.14733360502305076</v>
      </c>
      <c r="BB62" s="324">
        <f ca="1">_xlfn.XLOOKUP(Tab_NewTRADER[[#This Row],[ClickTick]],TabCalc[Ticker],TabCalc[L_Sn])</f>
        <v>1200</v>
      </c>
      <c r="BC62" s="728">
        <f ca="1">_xlfn.XLOOKUP(Tab_NewTRADER[[#This Row],[ClickTick]],TabCalc[Ticker],TabCalc[L_Sp])</f>
        <v>13.744999999999999</v>
      </c>
      <c r="BD62" s="764">
        <f ca="1">-IFERROR((Tab_NewTRADER[[#This Row],[M]]-Tab_NewTRADER[[#This Row],[L_Sp]])/Tab_NewTRADER[[#This Row],[L_Sp]],0)</f>
        <v>-3.0556566024008726E-2</v>
      </c>
      <c r="BE62" s="729">
        <f ca="1">MIN(Tab_NewTRADER[[#This Row],[L_Sn]],Tab_NewTRADER[[#This Row],[N]])*(Tab_NewTRADER[[#This Row],[M]]-Tab_NewTRADER[[#This Row],[L_Sp]])*(1-Commission)*Tab_NewTRADER[[#This Row],[Scale]]</f>
        <v>502.68959999999987</v>
      </c>
      <c r="BF62" s="692">
        <f ca="1">Tab_NewTRADER[[#This Row],[L_Sn]]*(Tab_NewTRADER[[#This Row],[Agiotage]]-Tab_NewTRADER[[#This Row],[M]])/(Tab_NewTRADER[[#This Row],[L_Bn]]*Tab_NewTRADER[[#This Row],[M]])</f>
        <v>-0.36947720918674942</v>
      </c>
      <c r="BG62" s="635">
        <f ca="1">IFERROR((Tab_NewTRADER[[#This Row],[M]]-Tab_NewTRADER[[#This Row],[A]])/Tab_NewTRADER[[#This Row],[A]],0)</f>
        <v>0.16922634383051091</v>
      </c>
      <c r="BH62" s="638" t="str">
        <f ca="1">TEXT(_xlfn.XLOOKUP(Tab_NewTRADER[[#This Row],[ClickTick]],TabCalc[Ticker],TabCalc[NAfter]),"#,#0")&amp;" : "&amp;TEXT(_xlfn.XLOOKUP(Tab_NewTRADER[[#This Row],[ClickTick]],TabCalc[Ticker],TabCalc[NAfter])*(Tab_NewTRADER[[#This Row],[M]]-Tab_NewTRADER[[#This Row],[A]])*(1-Commission)*Tab_NewTRADER[[#This Row],[Scale]],"#,#0$")</f>
        <v>19,800 : 40,487$</v>
      </c>
      <c r="BI62" s="684">
        <f ca="1">_xlfn.XLOOKUP(Tab_NewTRADER[[#This Row],[ClickTick]],TabCalc[[#This Row],[Ticker]],TabCalc[[#This Row],[GL]])*(1-Commission)</f>
        <v>101828.60546999998</v>
      </c>
      <c r="BJ62" s="684"/>
      <c r="BK62" s="669" t="str">
        <f ca="1">Tab_NewTRADER[[#This Row],[ClickTick]]&amp;": "&amp;_xlfn.XLOOKUP(Tab_NewTRADER[[#This Row],[ClickTick]],TabCalc[Ticker],TabCalc[Pile?])</f>
        <v xml:space="preserve">MVEORA: </v>
      </c>
      <c r="BL62" s="351" t="s">
        <v>1952</v>
      </c>
      <c r="BM62" s="755" t="str" cm="1">
        <f t="array" aca="1" ref="BM62" ca="1">_xlfn.TEXTJOIN("",,INDEX({"M","A","Y"}, _xlfn.SORTBY({1,2,3}, -CHOOSE({1,2,3}, Tab_NewTRADER[[#This Row],[M]], Tab_NewTRADER[[#This Row],[A]], Tab_NewTRADER[[#This Row],[Agiotage]]))))</f>
        <v>MAY</v>
      </c>
      <c r="BN62" s="909" cm="1">
        <f t="array" aca="1" ref="BN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2.965054712319096E-2</v>
      </c>
      <c r="BO62" s="679">
        <f ca="1">Tab_NewTRADER[[#This Row],[L_Sn]]*Tab_NewTRADER[[#This Row],[L_Sp]]+Tab_NewTRADER[[#This Row],[SellMore]]*Tab_NewTRADER[[#This Row],[M]]</f>
        <v>101484</v>
      </c>
      <c r="BP62" s="679">
        <f ca="1">INDEX(
  INDEX(TabConsolid[], , _xlfn.XMATCH(Tab_NewTRADER[[#This Row],[ClickTick]]&amp;1, TabConsolid[#Headers])),
  MATCH(
    -Tab_NewTRADER[[#This Row],[M]],
    INDEX(TabConsolid[], , _xlfn.XMATCH(Tab_NewTRADER[[#This Row],[ClickTick]]&amp;2, TabConsolid[#Headers])),
    -1
  )
)</f>
        <v>6000</v>
      </c>
      <c r="BQ62" s="679" cm="1">
        <f t="array" aca="1" ref="BQ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62" s="1156">
        <f ca="1">Tab_NewTRADER[[#This Row],[ReBuy]]/(Tab_NewTRADER[[#This Row],[L_Sn]]+Tab_NewTRADER[[#This Row],[SellMore]])</f>
        <v>14.095000000000001</v>
      </c>
      <c r="BS62" s="687">
        <f ca="1">((_xlfn.XLOOKUP(Tab_NewTRADER[[#This Row],[ClickTick]],TabCalc[Ticker],TabCalc[NAfter])+Tab_NewTRADER[[#This Row],[L_Sn]])*(Tab_NewTRADER[[#This Row],[Agiotage]]-Tab_NewTRADER[[#This Row],[M]]))/(Tab_NewTRADER[[#This Row],[L_Sn]]*_xlfn.XLOOKUP(Tab_NewTRADER[[#This Row],[ClickTick]],TabCalc[Ticker],TabCalc[NAfter]))</f>
        <v>-1.1564240112661661E-2</v>
      </c>
      <c r="BT62" s="687">
        <f ca="1">(Tab_NewTRADER[[#This Row],[M]]-Tab_NewTRADER[[#This Row],[Agiotage]])/(Tab_NewTRADER[[#This Row],[M]]-Tab_NewTRADER[[#This Row],[A]])-1</f>
        <v>5.3820218035732834</v>
      </c>
      <c r="BU62" s="1277">
        <f ca="1">_xlfn.XMATCH(Tab_NewTRADER[[#This Row],[ClickTick]]&amp;1, TabConsolid[#Headers])</f>
        <v>182</v>
      </c>
      <c r="BV62" t="str">
        <f ca="1">IF(ABS(Tab_NewTRADER[[#This Row],[L_Bp]])&gt;=Tab_NewTRADER[[#This Row],[M]],"OK")</f>
        <v>OK</v>
      </c>
    </row>
    <row r="63" spans="1:74"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+10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22.9%</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15$</v>
      </c>
      <c r="G63" s="225" t="str">
        <f ca="1">IFERROR(TRUNC(_xlfn.XLOOKUP(Tab_NewTRADER[[#This Row],[ClickTick]],TabCalc[Ticker],ListLastSalep),2)&amp;"x"&amp;_xlfn.XLOOKUP(Tab_NewTRADER[[#This Row],[ClickTick]],TabCalc[Ticker],ListLastSalen)&amp;"=   "&amp;TEXT(-_xlfn.XLOOKUP(Tab_NewTRADER[[#This Row],[ClickTick]],TabCalc[Ticker],ListReverseB),"#,#0")&amp;"$","")</f>
        <v>33.36x3999=   38,190$</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-22.3% = 0</v>
      </c>
      <c r="I63" s="226" t="str">
        <f ca="1">IFERROR(TRUNC(TabCalc[[#This Row],[L_S1p]],2)&amp;"x"&amp;TabCalc[[#This Row],[L_S1n]]&amp;"=   "&amp;TEXT(TabCalc[[#This Row],[ReverseB1]],"#,#0"),"")</f>
        <v>29.29x4000=   -54,480</v>
      </c>
      <c r="J63" s="295">
        <f ca="1">_xlfn.XLOOKUP(Tab_NewTRADER[[#This Row],[ClickTick]],TabCalc[Ticker],ListGravity)</f>
        <v>1.0428119319505942</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4.4524727823072796E-3</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0.29657047892430877</v>
      </c>
      <c r="S63" s="683">
        <f ca="1">_xlfn.XLOOKUP(Tab_NewTRADER[[#This Row],[ClickTick]],TabCalc[Ticker],TabCalc[Rev(MinStock)])*(1-Commission)</f>
        <v>9.7894809999999968</v>
      </c>
      <c r="T63" s="782">
        <f ca="1">_xlfn.XLOOKUP(Tab_NewTRADER[[#This Row],[ClickTick]],TabCalc[Ticker],TabCalc[Agiotage])</f>
        <v>4.4524727823072796E-3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-0.4%</v>
      </c>
      <c r="V63" s="739" t="str">
        <f ca="1">_xlfn.XLOOKUP(Tab_NewTRADER[[#This Row],[ClickTick]],[1]!RTData[Ticker_Symbol],[1]!RTData[Currency])</f>
        <v>EUR</v>
      </c>
      <c r="W63" s="749">
        <f ca="1">_xlfn.XLOOKUP(Tab_NewTRADER[[#This Row],[ClickTick]],TabCalc[Ticker],TabCalc[M])</f>
        <v>42.91</v>
      </c>
      <c r="X63" s="1343"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E63" s="1195" t="str" cm="1">
        <f t="array" aca="1" ref="AE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3" s="1177" t="str" cm="1">
        <f t="array" aca="1" ref="AF63" ca="1">_xlfn.IFS(       Tab_NewTRADER[[#This Row],[Trap_vs_Last]]=RePurchaseGain,TEXT(Tab_NewTRADER[[#This Row],[L_Sn]],"#,#0")&amp;" x "&amp;TEXT(Tab_NewTRADER[[#This Row],[L_Sp]],"#,#0.#0"),     Tab_NewTRADER[[#This Row],[Trap_vs_Last]]=ReSaleGain,Tab_NewTRADER[[#This Row],[ToSell]],               TRUE,"")</f>
        <v/>
      </c>
      <c r="AG63" s="1177" t="str" cm="1">
        <f t="array" aca="1" ref="AG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H63" s="1370" t="str">
        <f ca="1">TEXT(MIN(Tab_NewTRADER[[#This Row],[L_Bn]],Tab_NewTRADER[[#This Row],[N]]),"#,#0")&amp;" x "&amp;TEXT(Tab_NewTRADER[[#This Row],[L_Bp]],"#,#0.#0")</f>
        <v>1 x -33.10</v>
      </c>
      <c r="AI63" s="1370">
        <f ca="1">IF(Tab_NewTRADER[[#This Row],[M]]&lt;_xlfn.XLOOKUP(Tab_NewTRADER[[#This Row],[ClickTick]],TabCalc[Ticker],TabCalc[Max_Buy_P]), 0,Tab_NewTRADER[[#This Row],[Sale_Back_$]])</f>
        <v>9.7894809999999968</v>
      </c>
      <c r="AJ63" s="1370" t="str">
        <f ca="1">TEXT(Tab_NewTRADER[[#This Row],[L_Sn]],"#,#0")&amp;" ("&amp;Tab_NewTRADER[[#This Row],[M]]&amp;"/"&amp;TEXT(Tab_NewTRADER[[#This Row],[L_Sp]],"#,#0.#0)")</f>
        <v>3,999 (42.91/33.36)</v>
      </c>
      <c r="AK63" s="1370">
        <f ca="1">IF(Tab_NewTRADER[[#This Row],[M]]&lt;_xlfn.XLOOKUP(Tab_NewTRADER[[#This Row],[ClickTick]],TabCalc[Ticker],TabCalc[Max_Buy_P]), -Tab_NewTRADER[[#This Row],[Buy_Back]], 0)</f>
        <v>0</v>
      </c>
      <c r="AL63" s="1177" cm="1">
        <f t="array" aca="1" ref="AL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9.5251699999999975</v>
      </c>
      <c r="AM63" s="1177">
        <f ca="1">Tab_NewTRADER[[#This Row],[N]]*(Tab_NewTRADER[[#This Row],[M]]-Tab_NewTRADER[[#This Row],[A]])*(1-Commission)*Tab_NewTRADER[[#This Row],[Scale]]</f>
        <v>9.7894809999999968</v>
      </c>
      <c r="AN63" s="1177">
        <f ca="1">Tab_NewTRADER[[#This Row],[M]]*Tab_NewTRADER[[#This Row],[N]]*(1-Commission)*Tab_NewTRADER[[#This Row],[Scale]]</f>
        <v>42.798433999999993</v>
      </c>
      <c r="AO63" s="1186" cm="1">
        <f t="array" aca="1" ref="AO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0.29657047892430877</v>
      </c>
      <c r="AP63" s="1186" cm="1">
        <f t="array" aca="1" ref="AP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0.21995884409228614</v>
      </c>
      <c r="AQ63" s="825" cm="1">
        <f t="array" aca="1" ref="AQ63" ca="1">_xlfn.IFS(   Tab_NewTRADER[[#This Row],[Trap_vs_Last]]=SellMorePercentGain,                     MIN(Tab_NewTRADER[[#This Row],[L_Sn]],Tab_NewTRADER[[#This Row],[N]])*(Tab_NewTRADER[[#This Row],[M]]-Tab_NewTRADER[[#This Row],[L_Sp]])*(1-Commission)*Tab_NewTRADER[[#This Row],[Scale]],                    TRUE,"")</f>
        <v>9.5251699999999975</v>
      </c>
      <c r="AR63" s="1192">
        <f ca="1">_xlfn.XLOOKUP(Tab_NewTRADER[[#This Row],[ClickTick]],TabCalc[Ticker],TabCalc[Ann%RevLB])</f>
        <v>0.56489615033201668</v>
      </c>
      <c r="AS63" s="1281">
        <f ca="1">_xlfn.XLOOKUP(Tab_NewTRADER[[#This Row],[ClickTick]],TabCalc[Ticker],TabCalc[Up20])</f>
        <v>0</v>
      </c>
      <c r="AT63" s="310" t="str" cm="1">
        <f t="array" aca="1" ref="AT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3" s="825" t="str" cm="1">
        <f t="array" aca="1" ref="AU63" ca="1">_xlfn.IFS(         Tab_NewTRADER[[#This Row],[Trap_vs_Last]]=MDown,Tab_NewTRADER[[#This Row],[L_Bn]]*Tab_NewTRADER[[#This Row],[M]]*(-(Tab_NewTRADER[[#This Row],[L_Bp]]+Tab_NewTRADER[[#This Row],[M]])/Tab_NewTRADER[[#This Row],[M]])*(1-Commission)*Tab_NewTRADER[[#This Row],[Scale]],                               TRUE,"")</f>
        <v/>
      </c>
      <c r="AV63" s="1186" cm="1">
        <f t="array" aca="1" ref="AV63" ca="1">_xlfn.IFS(   Tab_NewTRADER[[#This Row],[Trap_vs_Last]]=MUp,Tab_NewTRADER[[#This Row],[TakeGain_A]]-Commission,        Tab_NewTRADER[[#This Row],[Trap_vs_Last]]=MDown,(Tab_NewTRADER[[#This Row],[A]]-Tab_NewTRADER[[#This Row],[M]])/Tab_NewTRADER[[#This Row],[M]]-Commission,                              TRUE,"")</f>
        <v>0.29397047892430878</v>
      </c>
      <c r="AW63" s="825" cm="1">
        <f t="array" aca="1" ref="AW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12.692752068590419</v>
      </c>
      <c r="AX63" s="760" t="str" cm="1">
        <f t="array" aca="1" ref="AX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63" s="736" t="str" cm="1">
        <f t="array" aca="1" ref="AY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1x9.81</v>
      </c>
      <c r="AZ63" s="765" cm="1">
        <f t="array" aca="1" ref="AZ63" ca="1">_xlfn.IFS(Tab_NewTRADER[[#This Row],[Trap_vs_Last]]=ReSaleGain,"",         Tab_NewTRADER[[#This Row],[Trap_vs_Last]]=MDown, (Tab_NewTRADER[[#This Row],[M]]-Tab_NewTRADER[[#This Row],[A]])/Tab_NewTRADER[[#This Row],[A]]*ComFactor,             TRUE, IFERROR((Tab_NewTRADER[[#This Row],[M]]-Tab_NewTRADER[[#This Row],[A]])/Tab_NewTRADER[[#This Row],[A]]*ComFactor,""))</f>
        <v>0.29579939567910557</v>
      </c>
      <c r="BA63" s="762" cm="1">
        <f t="array" aca="1" ref="BA63" ca="1">_xlfn.IFS(               Tab_NewTRADER[[#This Row],[Trap_vs_Last]]=NoStock,(Tab_NewTRADER[[#This Row],[L_Sp]]-Tab_NewTRADER[[#This Row],[M]])/Tab_NewTRADER[[#This Row],[M]]-Commission,             Tab_NewTRADER[[#This Row],[A]]&lt;&gt;0,(Tab_NewTRADER[[#This Row],[A]]-Tab_NewTRADER[[#This Row],[M]])/Tab_NewTRADER[[#This Row],[M]]-Commission)</f>
        <v>-0.23133456070845954</v>
      </c>
      <c r="BB63" s="324">
        <f ca="1">_xlfn.XLOOKUP(Tab_NewTRADER[[#This Row],[ClickTick]],TabCalc[Ticker],TabCalc[L_Sn])</f>
        <v>3999</v>
      </c>
      <c r="BC63" s="728">
        <f ca="1">_xlfn.XLOOKUP(Tab_NewTRADER[[#This Row],[ClickTick]],TabCalc[Ticker],TabCalc[L_Sp])</f>
        <v>33.36</v>
      </c>
      <c r="BD63" s="764">
        <f ca="1">-IFERROR((Tab_NewTRADER[[#This Row],[M]]-Tab_NewTRADER[[#This Row],[L_Sp]])/Tab_NewTRADER[[#This Row],[L_Sp]],0)</f>
        <v>-0.2862709832134292</v>
      </c>
      <c r="BE63" s="729">
        <f ca="1">MIN(Tab_NewTRADER[[#This Row],[L_Sn]],Tab_NewTRADER[[#This Row],[N]])*(Tab_NewTRADER[[#This Row],[M]]-Tab_NewTRADER[[#This Row],[L_Sp]])*(1-Commission)*Tab_NewTRADER[[#This Row],[Scale]]</f>
        <v>9.5251699999999975</v>
      </c>
      <c r="BF63" s="692">
        <f ca="1">Tab_NewTRADER[[#This Row],[L_Sn]]*(Tab_NewTRADER[[#This Row],[Agiotage]]-Tab_NewTRADER[[#This Row],[M]])/(Tab_NewTRADER[[#This Row],[L_Bn]]*Tab_NewTRADER[[#This Row],[M]])</f>
        <v>-1.3328616838448191</v>
      </c>
      <c r="BG63" s="635">
        <f ca="1">IFERROR((Tab_NewTRADER[[#This Row],[M]]-Tab_NewTRADER[[#This Row],[A]])/Tab_NewTRADER[[#This Row],[A]],0)</f>
        <v>0.29657047892430877</v>
      </c>
      <c r="BH63" s="638" t="str">
        <f ca="1">TEXT(_xlfn.XLOOKUP(Tab_NewTRADER[[#This Row],[ClickTick]],TabCalc[Ticker],TabCalc[NAfter]),"#,#0")&amp;" : "&amp;TEXT(_xlfn.XLOOKUP(Tab_NewTRADER[[#This Row],[ClickTick]],TabCalc[Ticker],TabCalc[NAfter])*(Tab_NewTRADER[[#This Row],[M]]-Tab_NewTRADER[[#This Row],[A]])*(1-Commission)*Tab_NewTRADER[[#This Row],[Scale]],"#,#0$")</f>
        <v>1 : 10$</v>
      </c>
      <c r="BI63" s="684">
        <f ca="1">_xlfn.XLOOKUP(Tab_NewTRADER[[#This Row],[ClickTick]],TabCalc[[#This Row],[Ticker]],TabCalc[[#This Row],[GL]])*(1-Commission)</f>
        <v>37460.399069999985</v>
      </c>
      <c r="BJ63" s="684"/>
      <c r="BK63" s="669" t="str">
        <f ca="1">Tab_NewTRADER[[#This Row],[ClickTick]]&amp;": "&amp;_xlfn.XLOOKUP(Tab_NewTRADER[[#This Row],[ClickTick]],TabCalc[Ticker],TabCalc[Pile?])</f>
        <v>MVERWE: Pile</v>
      </c>
      <c r="BL63" s="351" t="s">
        <v>1953</v>
      </c>
      <c r="BM63" s="755" t="str" cm="1">
        <f t="array" aca="1" ref="BM63" ca="1">_xlfn.TEXTJOIN("",,INDEX({"M","A","Y"}, _xlfn.SORTBY({1,2,3}, -CHOOSE({1,2,3}, Tab_NewTRADER[[#This Row],[M]], Tab_NewTRADER[[#This Row],[A]], Tab_NewTRADER[[#This Row],[Agiotage]]))))</f>
        <v>MAY</v>
      </c>
      <c r="BN63" s="909" cm="1">
        <f t="array" aca="1" ref="BN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0.22255884409228613</v>
      </c>
      <c r="BO63" s="679">
        <f ca="1">Tab_NewTRADER[[#This Row],[L_Sn]]*Tab_NewTRADER[[#This Row],[L_Sp]]+Tab_NewTRADER[[#This Row],[SellMore]]*Tab_NewTRADER[[#This Row],[M]]</f>
        <v>133449.54999999999</v>
      </c>
      <c r="BP63" s="679">
        <f ca="1">INDEX(
  INDEX(TabConsolid[], , _xlfn.XMATCH(Tab_NewTRADER[[#This Row],[ClickTick]]&amp;1, TabConsolid[#Headers])),
  MATCH(
    -Tab_NewTRADER[[#This Row],[M]],
    INDEX(TabConsolid[], , _xlfn.XMATCH(Tab_NewTRADER[[#This Row],[ClickTick]]&amp;2, TabConsolid[#Headers])),
    -1
  )
)</f>
        <v>1</v>
      </c>
      <c r="BQ63" s="679" cm="1">
        <f t="array" aca="1" ref="BQ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3" s="1156">
        <f ca="1">Tab_NewTRADER[[#This Row],[ReBuy]]/(Tab_NewTRADER[[#This Row],[L_Sn]]+Tab_NewTRADER[[#This Row],[SellMore]])</f>
        <v>33.362387499999997</v>
      </c>
      <c r="BS63" s="687">
        <f ca="1">((_xlfn.XLOOKUP(Tab_NewTRADER[[#This Row],[ClickTick]],TabCalc[Ticker],TabCalc[NAfter])+Tab_NewTRADER[[#This Row],[L_Sn]])*(Tab_NewTRADER[[#This Row],[Agiotage]]-Tab_NewTRADER[[#This Row],[M]]))/(Tab_NewTRADER[[#This Row],[L_Sn]]*_xlfn.XLOOKUP(Tab_NewTRADER[[#This Row],[ClickTick]],TabCalc[Ticker],TabCalc[NAfter]))</f>
        <v>-42.916276596366785</v>
      </c>
      <c r="BT63" s="687">
        <f ca="1">(Tab_NewTRADER[[#This Row],[M]]-Tab_NewTRADER[[#This Row],[Agiotage]])/(Tab_NewTRADER[[#This Row],[M]]-Tab_NewTRADER[[#This Row],[A]])-1</f>
        <v>3.3714261362422517</v>
      </c>
      <c r="BU63" s="1277">
        <f ca="1">_xlfn.XMATCH(Tab_NewTRADER[[#This Row],[ClickTick]]&amp;1, TabConsolid[#Headers])</f>
        <v>185</v>
      </c>
      <c r="BV63" t="b">
        <f ca="1">IF(ABS(Tab_NewTRADER[[#This Row],[L_Bp]])&gt;=Tab_NewTRADER[[#This Row],[M]],"OK")</f>
        <v>0</v>
      </c>
    </row>
    <row r="64" spans="1:74"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-7,050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-16.3%</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-8,790$</v>
      </c>
      <c r="G64" s="225" t="str">
        <f ca="1">IFERROR(TRUNC(_xlfn.XLOOKUP(Tab_NewTRADER[[#This Row],[ClickTick]],TabCalc[Ticker],ListLastSalep),2)&amp;"x"&amp;_xlfn.XLOOKUP(Tab_NewTRADER[[#This Row],[ClickTick]],TabCalc[Ticker],ListLastSalen)&amp;"=   "&amp;TEXT(-_xlfn.XLOOKUP(Tab_NewTRADER[[#This Row],[ClickTick]],TabCalc[Ticker],ListReverseB),"#,#0")&amp;"$","")</f>
        <v>267.48x500=   -25,915$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24.0% = 96</v>
      </c>
      <c r="I64" s="226" t="str">
        <f ca="1">IFERROR(TRUNC(TabCalc[[#This Row],[L_S1p]],2)&amp;"x"&amp;TabCalc[[#This Row],[L_S1n]]&amp;"=   "&amp;TEXT(TabCalc[[#This Row],[ReverseB1]],"#,#0"),"")</f>
        <v>263.8x500=   24,075</v>
      </c>
      <c r="J64" s="295">
        <f ca="1">_xlfn.XLOOKUP(Tab_NewTRADER[[#This Row],[ClickTick]],TabCalc[Ticker],ListGravity)</f>
        <v>1.3385893809413403</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1.1597733249552002</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-0.14049422080510163</v>
      </c>
      <c r="S64" s="683">
        <f ca="1">_xlfn.XLOOKUP(Tab_NewTRADER[[#This Row],[ClickTick]],TabCalc[Ticker],TabCalc[Rev(MinStock)])*(1-Commission)</f>
        <v>-7031.67</v>
      </c>
      <c r="T64" s="782">
        <f ca="1">_xlfn.XLOOKUP(Tab_NewTRADER[[#This Row],[ClickTick]],TabCalc[Ticker],TabCalc[Agiotage])</f>
        <v>1.1597733249552002</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-1,604/-1,604=&gt;-1.1% / -1.1%</v>
      </c>
      <c r="V64" s="739" t="str">
        <f ca="1">_xlfn.XLOOKUP(Tab_NewTRADER[[#This Row],[ClickTick]],[1]!RTData[Ticker_Symbol],[1]!RTData[Currency])</f>
        <v>EUR</v>
      </c>
      <c r="W64" s="749">
        <f ca="1">_xlfn.XLOOKUP(Tab_NewTRADER[[#This Row],[ClickTick]],TabCalc[Ticker],TabCalc[M])</f>
        <v>215.65</v>
      </c>
      <c r="X64" s="1343"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^50 / 86 K$</v>
      </c>
      <c r="AE64" s="1195" t="str" cm="1">
        <f t="array" aca="1" ref="AE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4" s="1177" t="str" cm="1">
        <f t="array" aca="1" ref="AF64" ca="1">_xlfn.IFS(       Tab_NewTRADER[[#This Row],[Trap_vs_Last]]=RePurchaseGain,TEXT(Tab_NewTRADER[[#This Row],[L_Sn]],"#,#0")&amp;" x "&amp;TEXT(Tab_NewTRADER[[#This Row],[L_Sp]],"#,#0.#0"),     Tab_NewTRADER[[#This Row],[Trap_vs_Last]]=ReSaleGain,Tab_NewTRADER[[#This Row],[ToSell]],               TRUE,"")</f>
        <v/>
      </c>
      <c r="AG64" s="1177" t="str" cm="1">
        <f t="array" aca="1" ref="AG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H64" s="1370" t="str">
        <f ca="1">TEXT(MIN(Tab_NewTRADER[[#This Row],[L_Bn]],Tab_NewTRADER[[#This Row],[N]]),"#,#0")&amp;" x "&amp;TEXT(Tab_NewTRADER[[#This Row],[L_Bp]],"#,#0.#0")</f>
        <v>200 x -250.90</v>
      </c>
      <c r="AI64" s="1370">
        <f ca="1">IF(Tab_NewTRADER[[#This Row],[M]]&lt;_xlfn.XLOOKUP(Tab_NewTRADER[[#This Row],[ClickTick]],TabCalc[Ticker],TabCalc[Max_Buy_P]), 0,Tab_NewTRADER[[#This Row],[Sale_Back_$]])</f>
        <v>0</v>
      </c>
      <c r="AJ64" s="1370" t="str">
        <f ca="1">TEXT(Tab_NewTRADER[[#This Row],[L_Sn]],"#,#0")&amp;" ("&amp;Tab_NewTRADER[[#This Row],[M]]&amp;"/"&amp;TEXT(Tab_NewTRADER[[#This Row],[L_Sp]],"#,#0.#0)")</f>
        <v>500 (215.65/267.48)</v>
      </c>
      <c r="AK64" s="1370">
        <f ca="1">IF(Tab_NewTRADER[[#This Row],[M]]&lt;_xlfn.XLOOKUP(Tab_NewTRADER[[#This Row],[ClickTick]],TabCalc[Ticker],TabCalc[Max_Buy_P]), -Tab_NewTRADER[[#This Row],[Buy_Back]], 0)</f>
        <v>20729.792042000005</v>
      </c>
      <c r="AL64" s="1177" cm="1">
        <f t="array" aca="1" ref="AL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7031.67</v>
      </c>
      <c r="AM64" s="1177">
        <f ca="1">Tab_NewTRADER[[#This Row],[N]]*(Tab_NewTRADER[[#This Row],[M]]-Tab_NewTRADER[[#This Row],[A]])*(1-Commission)*Tab_NewTRADER[[#This Row],[Scale]]</f>
        <v>-15845.923201999998</v>
      </c>
      <c r="AN64" s="1177">
        <f ca="1">Tab_NewTRADER[[#This Row],[M]]*Tab_NewTRADER[[#This Row],[N]]*(1-Commission)*Tab_NewTRADER[[#This Row],[Scale]]</f>
        <v>86250.813309999998</v>
      </c>
      <c r="AO64" s="1186" cm="1">
        <f t="array" aca="1" ref="AO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0.15520499227845092</v>
      </c>
      <c r="AP64" s="1186" cm="1">
        <f t="array" aca="1" ref="AP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0.16085930906561557</v>
      </c>
      <c r="AQ64" s="825" t="str" cm="1">
        <f t="array" aca="1" ref="AQ64" ca="1">_xlfn.IFS(   Tab_NewTRADER[[#This Row],[Trap_vs_Last]]=SellMorePercentGain,                     MIN(Tab_NewTRADER[[#This Row],[L_Sn]],Tab_NewTRADER[[#This Row],[N]])*(Tab_NewTRADER[[#This Row],[M]]-Tab_NewTRADER[[#This Row],[L_Sp]])*(1-Commission)*Tab_NewTRADER[[#This Row],[Scale]],                    TRUE,"")</f>
        <v/>
      </c>
      <c r="AR64" s="1175">
        <f ca="1">_xlfn.XLOOKUP(Tab_NewTRADER[[#This Row],[ClickTick]],TabCalc[Ticker],TabCalc[Ann%RevLB])</f>
        <v>-0.47269083635361292</v>
      </c>
      <c r="AS64" s="1282">
        <f ca="1">_xlfn.XLOOKUP(Tab_NewTRADER[[#This Row],[ClickTick]],TabCalc[Ticker],TabCalc[Up20])</f>
        <v>0</v>
      </c>
      <c r="AT64" s="310" cm="1">
        <f t="array" aca="1" ref="AT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0.16345930906561557</v>
      </c>
      <c r="AU64" s="825" cm="1">
        <f t="array" aca="1" ref="AU64" ca="1">_xlfn.IFS(         Tab_NewTRADER[[#This Row],[Trap_vs_Last]]=MDown,Tab_NewTRADER[[#This Row],[L_Bn]]*Tab_NewTRADER[[#This Row],[M]]*(-(Tab_NewTRADER[[#This Row],[L_Bp]]+Tab_NewTRADER[[#This Row],[M]])/Tab_NewTRADER[[#This Row],[M]])*(1-Commission)*Tab_NewTRADER[[#This Row],[Scale]],                               TRUE,"")</f>
        <v>7031.6699999999992</v>
      </c>
      <c r="AV64" s="1186" cm="1">
        <f t="array" aca="1" ref="AV64" ca="1">_xlfn.IFS(   Tab_NewTRADER[[#This Row],[Trap_vs_Last]]=MUp,Tab_NewTRADER[[#This Row],[TakeGain_A]]-Commission,        Tab_NewTRADER[[#This Row],[Trap_vs_Last]]=MDown,(Tab_NewTRADER[[#This Row],[A]]-Tab_NewTRADER[[#This Row],[M]])/Tab_NewTRADER[[#This Row],[M]]-Commission,                              TRUE,"")</f>
        <v>0.18111911630615091</v>
      </c>
      <c r="AW64" s="825" cm="1">
        <f t="array" aca="1" ref="AW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15845.923201999998</v>
      </c>
      <c r="AX64" s="760" t="str" cm="1">
        <f t="array" aca="1" ref="AX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Y64" s="736" cm="1">
        <f t="array" aca="1" ref="AY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-35.25</v>
      </c>
      <c r="AZ64" s="765" cm="1">
        <f t="array" aca="1" ref="AZ64" ca="1">_xlfn.IFS(Tab_NewTRADER[[#This Row],[Trap_vs_Last]]=ReSaleGain,"",         Tab_NewTRADER[[#This Row],[Trap_vs_Last]]=MDown, (Tab_NewTRADER[[#This Row],[M]]-Tab_NewTRADER[[#This Row],[A]])/Tab_NewTRADER[[#This Row],[A]]*ComFactor,             TRUE, IFERROR((Tab_NewTRADER[[#This Row],[M]]-Tab_NewTRADER[[#This Row],[A]])/Tab_NewTRADER[[#This Row],[A]]*ComFactor,""))</f>
        <v>-0.15480145929852693</v>
      </c>
      <c r="BA64" s="762" cm="1">
        <f t="array" aca="1" ref="BA64" ca="1">_xlfn.IFS(               Tab_NewTRADER[[#This Row],[Trap_vs_Last]]=NoStock,(Tab_NewTRADER[[#This Row],[L_Sp]]-Tab_NewTRADER[[#This Row],[M]])/Tab_NewTRADER[[#This Row],[M]]-Commission,             Tab_NewTRADER[[#This Row],[A]]&lt;&gt;0,(Tab_NewTRADER[[#This Row],[A]]-Tab_NewTRADER[[#This Row],[M]])/Tab_NewTRADER[[#This Row],[M]]-Commission)</f>
        <v>0.18111911630615091</v>
      </c>
      <c r="BB64" s="324">
        <f ca="1">_xlfn.XLOOKUP(Tab_NewTRADER[[#This Row],[ClickTick]],TabCalc[Ticker],TabCalc[L_Sn])</f>
        <v>500</v>
      </c>
      <c r="BC64" s="728">
        <f ca="1">_xlfn.XLOOKUP(Tab_NewTRADER[[#This Row],[ClickTick]],TabCalc[Ticker],TabCalc[L_Sp])</f>
        <v>267.48</v>
      </c>
      <c r="BD64" s="764">
        <f ca="1">-IFERROR((Tab_NewTRADER[[#This Row],[M]]-Tab_NewTRADER[[#This Row],[L_Sp]])/Tab_NewTRADER[[#This Row],[L_Sp]],0)</f>
        <v>0.19377149693435028</v>
      </c>
      <c r="BE64" s="729">
        <f ca="1">MIN(Tab_NewTRADER[[#This Row],[L_Sn]],Tab_NewTRADER[[#This Row],[N]])*(Tab_NewTRADER[[#This Row],[M]]-Tab_NewTRADER[[#This Row],[L_Sp]])*(1-Commission)*Tab_NewTRADER[[#This Row],[Scale]]</f>
        <v>-20729.792042000005</v>
      </c>
      <c r="BF64" s="692">
        <f ca="1">Tab_NewTRADER[[#This Row],[L_Sn]]*(Tab_NewTRADER[[#This Row],[Agiotage]]-Tab_NewTRADER[[#This Row],[M]])/(Tab_NewTRADER[[#This Row],[L_Bn]]*Tab_NewTRADER[[#This Row],[M]])</f>
        <v>-2.486554911604971</v>
      </c>
      <c r="BG64" s="635">
        <f ca="1">IFERROR((Tab_NewTRADER[[#This Row],[M]]-Tab_NewTRADER[[#This Row],[A]])/Tab_NewTRADER[[#This Row],[A]],0)</f>
        <v>-0.15520499227845092</v>
      </c>
      <c r="BH64" s="638" t="str">
        <f ca="1">TEXT(_xlfn.XLOOKUP(Tab_NewTRADER[[#This Row],[ClickTick]],TabCalc[Ticker],TabCalc[NAfter]),"#,#0")&amp;" : "&amp;TEXT(_xlfn.XLOOKUP(Tab_NewTRADER[[#This Row],[ClickTick]],TabCalc[Ticker],TabCalc[NAfter])*(Tab_NewTRADER[[#This Row],[M]]-Tab_NewTRADER[[#This Row],[A]])*(1-Commission)*Tab_NewTRADER[[#This Row],[Scale]],"#,#0$")</f>
        <v>401 : -15,846$</v>
      </c>
      <c r="BI64" s="684">
        <f ca="1">_xlfn.XLOOKUP(Tab_NewTRADER[[#This Row],[ClickTick]],TabCalc[[#This Row],[Ticker]],TabCalc[[#This Row],[GL]])*(1-Commission)</f>
        <v>50138.08815379993</v>
      </c>
      <c r="BJ64" s="684"/>
      <c r="BK64" s="669" t="str">
        <f ca="1">Tab_NewTRADER[[#This Row],[ClickTick]]&amp;": "&amp;_xlfn.XLOOKUP(Tab_NewTRADER[[#This Row],[ClickTick]],TabCalc[Ticker],TabCalc[Pile?])</f>
        <v>MVESAP: Pile</v>
      </c>
      <c r="BL64" s="351" t="s">
        <v>1954</v>
      </c>
      <c r="BM64" s="755" t="str" cm="1">
        <f t="array" aca="1" ref="BM64" ca="1">_xlfn.TEXTJOIN("",,INDEX({"M","A","Y"}, _xlfn.SORTBY({1,2,3}, -CHOOSE({1,2,3}, Tab_NewTRADER[[#This Row],[M]], Tab_NewTRADER[[#This Row],[A]], Tab_NewTRADER[[#This Row],[Agiotage]]))))</f>
        <v>AMY</v>
      </c>
      <c r="BN64" s="909" cm="1">
        <f t="array" aca="1" ref="BN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0.16345930906561557</v>
      </c>
      <c r="BO64" s="679" t="e">
        <f ca="1">Tab_NewTRADER[[#This Row],[L_Sn]]*Tab_NewTRADER[[#This Row],[L_Sp]]+Tab_NewTRADER[[#This Row],[SellMore]]*Tab_NewTRADER[[#This Row],[M]]</f>
        <v>#N/A</v>
      </c>
      <c r="BP64" s="679" t="e">
        <f ca="1">INDEX(
  INDEX(TabConsolid[], , _xlfn.XMATCH(Tab_NewTRADER[[#This Row],[ClickTick]]&amp;1, TabConsolid[#Headers])),
  MATCH(
    -Tab_NewTRADER[[#This Row],[M]],
    INDEX(TabConsolid[], , _xlfn.XMATCH(Tab_NewTRADER[[#This Row],[ClickTick]]&amp;2, TabConsolid[#Headers])),
    -1
  )
)</f>
        <v>#N/A</v>
      </c>
      <c r="BQ64" s="679" cm="1">
        <f t="array" aca="1" ref="BQ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64" s="1156" t="e">
        <f ca="1">Tab_NewTRADER[[#This Row],[ReBuy]]/(Tab_NewTRADER[[#This Row],[L_Sn]]+Tab_NewTRADER[[#This Row],[SellMore]])</f>
        <v>#N/A</v>
      </c>
      <c r="BS64" s="687">
        <f ca="1">((_xlfn.XLOOKUP(Tab_NewTRADER[[#This Row],[ClickTick]],TabCalc[Ticker],TabCalc[NAfter])+Tab_NewTRADER[[#This Row],[L_Sn]])*(Tab_NewTRADER[[#This Row],[Agiotage]]-Tab_NewTRADER[[#This Row],[M]]))/(Tab_NewTRADER[[#This Row],[L_Sn]]*_xlfn.XLOOKUP(Tab_NewTRADER[[#This Row],[ClickTick]],TabCalc[Ticker],TabCalc[NAfter]))</f>
        <v>-0.96386879917314394</v>
      </c>
      <c r="BT64" s="687">
        <f ca="1">(Tab_NewTRADER[[#This Row],[M]]-Tab_NewTRADER[[#This Row],[Agiotage]])/(Tab_NewTRADER[[#This Row],[M]]-Tab_NewTRADER[[#This Row],[A]])-1</f>
        <v>-6.4138185760949495</v>
      </c>
      <c r="BU64" s="1277">
        <f ca="1">_xlfn.XMATCH(Tab_NewTRADER[[#This Row],[ClickTick]]&amp;1, TabConsolid[#Headers])</f>
        <v>188</v>
      </c>
      <c r="BV64" t="str">
        <f ca="1">IF(ABS(Tab_NewTRADER[[#This Row],[L_Bp]])&gt;=Tab_NewTRADER[[#This Row],[M]],"OK")</f>
        <v>OK</v>
      </c>
    </row>
    <row r="65" spans="1:74"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-348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-31.3%</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-85$</v>
      </c>
      <c r="G65" s="225" t="str">
        <f ca="1">IFERROR(TRUNC(_xlfn.XLOOKUP(Tab_NewTRADER[[#This Row],[ClickTick]],TabCalc[Ticker],ListLastSalep),2)&amp;"x"&amp;_xlfn.XLOOKUP(Tab_NewTRADER[[#This Row],[ClickTick]],TabCalc[Ticker],ListLastSalen)&amp;"=   "&amp;TEXT(-_xlfn.XLOOKUP(Tab_NewTRADER[[#This Row],[ClickTick]],TabCalc[Ticker],ListReverseB),"#,#0")&amp;"$","")</f>
        <v>45.93x488=   -8,506$</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61.2% = 287</v>
      </c>
      <c r="I65" s="226" t="str">
        <f ca="1">IFERROR(TRUNC(TabCalc[[#This Row],[L_S1p]],2)&amp;"x"&amp;TabCalc[[#This Row],[L_S1n]]&amp;"=   "&amp;TEXT(TabCalc[[#This Row],[ReverseB1]],"#,#0"),"")</f>
        <v>51.5x490=   11,270</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14677.5</v>
      </c>
      <c r="M65" s="323">
        <f ca="1">_xlfn.XLOOKUP(Tab_NewTRADER[[#This Row],[ClickTick]],TabCalc[Ticker],TabCalc[Agiotage])</f>
        <v>1.1342155009451797E-2</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-0.23847695390781556</v>
      </c>
      <c r="S65" s="683">
        <f ca="1">_xlfn.XLOOKUP(Tab_NewTRADER[[#This Row],[ClickTick]],TabCalc[Ticker],TabCalc[Rev(MinStock)])*(1-Commission)</f>
        <v>-347.17000499999983</v>
      </c>
      <c r="T65" s="782">
        <f ca="1">_xlfn.XLOOKUP(Tab_NewTRADER[[#This Row],[ClickTick]],TabCalc[Ticker],TabCalc[Agiotage])</f>
        <v>1.1342155009451797E-2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56/56=&gt;2.0% / 2.0%</v>
      </c>
      <c r="V65" s="739" t="str">
        <f ca="1">_xlfn.XLOOKUP(Tab_NewTRADER[[#This Row],[ClickTick]],[1]!RTData[Ticker_Symbol],[1]!RTData[Currency])</f>
        <v>EUR</v>
      </c>
      <c r="W65" s="749">
        <f ca="1">_xlfn.XLOOKUP(Tab_NewTRADER[[#This Row],[ClickTick]],TabCalc[Ticker],TabCalc[M])</f>
        <v>28.5</v>
      </c>
      <c r="X65" s="1343"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E65" s="1173" t="str" cm="1">
        <f t="array" aca="1" ref="AE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5" s="1177" t="str" cm="1">
        <f t="array" aca="1" ref="AF65" ca="1">_xlfn.IFS(       Tab_NewTRADER[[#This Row],[Trap_vs_Last]]=RePurchaseGain,TEXT(Tab_NewTRADER[[#This Row],[L_Sn]],"#,#0")&amp;" x "&amp;TEXT(Tab_NewTRADER[[#This Row],[L_Sp]],"#,#0.#0"),     Tab_NewTRADER[[#This Row],[Trap_vs_Last]]=ReSaleGain,Tab_NewTRADER[[#This Row],[ToSell]],               TRUE,"")</f>
        <v/>
      </c>
      <c r="AG65" s="1177" t="str" cm="1">
        <f t="array" aca="1" ref="AG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H65" s="1370" t="str">
        <f ca="1">TEXT(MIN(Tab_NewTRADER[[#This Row],[L_Bn]],Tab_NewTRADER[[#This Row],[N]]),"#,#0")&amp;" x "&amp;TEXT(Tab_NewTRADER[[#This Row],[L_Bp]],"#,#0.#0")</f>
        <v>39 x -37.43</v>
      </c>
      <c r="AI65" s="1370">
        <f ca="1">IF(Tab_NewTRADER[[#This Row],[M]]&lt;_xlfn.XLOOKUP(Tab_NewTRADER[[#This Row],[ClickTick]],TabCalc[Ticker],TabCalc[Max_Buy_P]), 0,Tab_NewTRADER[[#This Row],[Sale_Back_$]])</f>
        <v>0</v>
      </c>
      <c r="AJ65" s="1370" t="str">
        <f ca="1">TEXT(Tab_NewTRADER[[#This Row],[L_Sn]],"#,#0")&amp;" ("&amp;Tab_NewTRADER[[#This Row],[M]]&amp;"/"&amp;TEXT(Tab_NewTRADER[[#This Row],[L_Sp]],"#,#0.#0)")</f>
        <v>488 (28.5/45.93)</v>
      </c>
      <c r="AK65" s="1370">
        <f ca="1">IF(Tab_NewTRADER[[#This Row],[M]]&lt;_xlfn.XLOOKUP(Tab_NewTRADER[[#This Row],[ClickTick]],TabCalc[Ticker],TabCalc[Max_Buy_P]), -Tab_NewTRADER[[#This Row],[Buy_Back]], 0)</f>
        <v>8483.7248159999999</v>
      </c>
      <c r="AL65" s="1177" cm="1">
        <f t="array" aca="1" ref="AL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347.17000499999983</v>
      </c>
      <c r="AM65" s="1177">
        <f ca="1">Tab_NewTRADER[[#This Row],[N]]*(Tab_NewTRADER[[#This Row],[M]]-Tab_NewTRADER[[#This Row],[A]])*(1-Commission)*Tab_NewTRADER[[#This Row],[Scale]]</f>
        <v>-7507.185437000001</v>
      </c>
      <c r="AN65" s="1177">
        <f ca="1">Tab_NewTRADER[[#This Row],[M]]*Tab_NewTRADER[[#This Row],[N]]*(1-Commission)*Tab_NewTRADER[[#This Row],[Scale]]</f>
        <v>15918.503999999999</v>
      </c>
      <c r="AO65" s="1186" cm="1">
        <f t="array" aca="1" ref="AO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0.32046806806644851</v>
      </c>
      <c r="AP65" s="1186" cm="1">
        <f t="array" aca="1" ref="AP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0.31055789473684203</v>
      </c>
      <c r="AQ65" s="825" t="str" cm="1">
        <f t="array" aca="1" ref="AQ65" ca="1">_xlfn.IFS(   Tab_NewTRADER[[#This Row],[Trap_vs_Last]]=SellMorePercentGain,                     MIN(Tab_NewTRADER[[#This Row],[L_Sn]],Tab_NewTRADER[[#This Row],[N]])*(Tab_NewTRADER[[#This Row],[M]]-Tab_NewTRADER[[#This Row],[L_Sp]])*(1-Commission)*Tab_NewTRADER[[#This Row],[Scale]],                    TRUE,"")</f>
        <v/>
      </c>
      <c r="AR65" s="1192">
        <f ca="1">_xlfn.XLOOKUP(Tab_NewTRADER[[#This Row],[ClickTick]],TabCalc[Ticker],TabCalc[Ann%RevLB])</f>
        <v>-0.76653306613226435</v>
      </c>
      <c r="AS65" s="1281">
        <f ca="1">_xlfn.XLOOKUP(Tab_NewTRADER[[#This Row],[ClickTick]],TabCalc[Ticker],TabCalc[Up20])</f>
        <v>0</v>
      </c>
      <c r="AT65" s="310" cm="1">
        <f t="array" aca="1" ref="AT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0.31315789473684202</v>
      </c>
      <c r="AU65" s="825" cm="1">
        <f t="array" aca="1" ref="AU65" ca="1">_xlfn.IFS(         Tab_NewTRADER[[#This Row],[Trap_vs_Last]]=MDown,Tab_NewTRADER[[#This Row],[L_Bn]]*Tab_NewTRADER[[#This Row],[M]]*(-(Tab_NewTRADER[[#This Row],[L_Bp]]+Tab_NewTRADER[[#This Row],[M]])/Tab_NewTRADER[[#This Row],[M]])*(1-Commission)*Tab_NewTRADER[[#This Row],[Scale]],                               TRUE,"")</f>
        <v>347.17000499999989</v>
      </c>
      <c r="AV65" s="1186" cm="1">
        <f t="array" aca="1" ref="AV65" ca="1">_xlfn.IFS(   Tab_NewTRADER[[#This Row],[Trap_vs_Last]]=MUp,Tab_NewTRADER[[#This Row],[TakeGain_A]]-Commission,        Tab_NewTRADER[[#This Row],[Trap_vs_Last]]=MDown,(Tab_NewTRADER[[#This Row],[A]]-Tab_NewTRADER[[#This Row],[M]])/Tab_NewTRADER[[#This Row],[M]]-Commission,                              TRUE,"")</f>
        <v>0.46900119047619054</v>
      </c>
      <c r="AW65" s="825" cm="1">
        <f t="array" aca="1" ref="AW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7507.185437000001</v>
      </c>
      <c r="AX65" s="760" t="str" cm="1">
        <f t="array" aca="1" ref="AX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65" s="736" cm="1">
        <f t="array" aca="1" ref="AY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-8.92</v>
      </c>
      <c r="AZ65" s="765" cm="1">
        <f t="array" aca="1" ref="AZ65" ca="1">_xlfn.IFS(Tab_NewTRADER[[#This Row],[Trap_vs_Last]]=ReSaleGain,"",         Tab_NewTRADER[[#This Row],[Trap_vs_Last]]=MDown, (Tab_NewTRADER[[#This Row],[M]]-Tab_NewTRADER[[#This Row],[A]])/Tab_NewTRADER[[#This Row],[A]]*ComFactor,             TRUE, IFERROR((Tab_NewTRADER[[#This Row],[M]]-Tab_NewTRADER[[#This Row],[A]])/Tab_NewTRADER[[#This Row],[A]]*ComFactor,""))</f>
        <v>-0.3196348510894757</v>
      </c>
      <c r="BA65" s="762" cm="1">
        <f t="array" aca="1" ref="BA65" ca="1">_xlfn.IFS(               Tab_NewTRADER[[#This Row],[Trap_vs_Last]]=NoStock,(Tab_NewTRADER[[#This Row],[L_Sp]]-Tab_NewTRADER[[#This Row],[M]])/Tab_NewTRADER[[#This Row],[M]]-Commission,             Tab_NewTRADER[[#This Row],[A]]&lt;&gt;0,(Tab_NewTRADER[[#This Row],[A]]-Tab_NewTRADER[[#This Row],[M]])/Tab_NewTRADER[[#This Row],[M]]-Commission)</f>
        <v>0.46900119047619054</v>
      </c>
      <c r="BB65" s="324">
        <f ca="1">_xlfn.XLOOKUP(Tab_NewTRADER[[#This Row],[ClickTick]],TabCalc[Ticker],TabCalc[L_Sn])</f>
        <v>488</v>
      </c>
      <c r="BC65" s="728">
        <f ca="1">_xlfn.XLOOKUP(Tab_NewTRADER[[#This Row],[ClickTick]],TabCalc[Ticker],TabCalc[L_Sp])</f>
        <v>45.93</v>
      </c>
      <c r="BD65" s="764">
        <f ca="1">-IFERROR((Tab_NewTRADER[[#This Row],[M]]-Tab_NewTRADER[[#This Row],[L_Sp]])/Tab_NewTRADER[[#This Row],[L_Sp]],0)</f>
        <v>0.37949052906596997</v>
      </c>
      <c r="BE65" s="729">
        <f ca="1">MIN(Tab_NewTRADER[[#This Row],[L_Sn]],Tab_NewTRADER[[#This Row],[N]])*(Tab_NewTRADER[[#This Row],[M]]-Tab_NewTRADER[[#This Row],[L_Sp]])*(1-Commission)*Tab_NewTRADER[[#This Row],[Scale]]</f>
        <v>-8483.7248159999999</v>
      </c>
      <c r="BF65" s="692">
        <f ca="1">Tab_NewTRADER[[#This Row],[L_Sn]]*(Tab_NewTRADER[[#This Row],[Agiotage]]-Tab_NewTRADER[[#This Row],[M]])/(Tab_NewTRADER[[#This Row],[L_Bn]]*Tab_NewTRADER[[#This Row],[M]])</f>
        <v>-12.507840781246413</v>
      </c>
      <c r="BG65" s="635">
        <f ca="1">IFERROR((Tab_NewTRADER[[#This Row],[M]]-Tab_NewTRADER[[#This Row],[A]])/Tab_NewTRADER[[#This Row],[A]],0)</f>
        <v>-0.32046806806644851</v>
      </c>
      <c r="BH65" s="638" t="str">
        <f ca="1">TEXT(_xlfn.XLOOKUP(Tab_NewTRADER[[#This Row],[ClickTick]],TabCalc[Ticker],TabCalc[NAfter]),"#,#0")&amp;" : "&amp;TEXT(_xlfn.XLOOKUP(Tab_NewTRADER[[#This Row],[ClickTick]],TabCalc[Ticker],TabCalc[NAfter])*(Tab_NewTRADER[[#This Row],[M]]-Tab_NewTRADER[[#This Row],[A]])*(1-Commission)*Tab_NewTRADER[[#This Row],[Scale]],"#,#0$")</f>
        <v>560 : -7,507$</v>
      </c>
      <c r="BI65" s="684">
        <f ca="1">_xlfn.XLOOKUP(Tab_NewTRADER[[#This Row],[ClickTick]],TabCalc[[#This Row],[Ticker]],TabCalc[[#This Row],[GL]])*(1-Commission)</f>
        <v>-957.09656210000219</v>
      </c>
      <c r="BJ65" s="684"/>
      <c r="BK65" s="669" t="str">
        <f ca="1">Tab_NewTRADER[[#This Row],[ClickTick]]&amp;": "&amp;_xlfn.XLOOKUP(Tab_NewTRADER[[#This Row],[ClickTick]],TabCalc[Ticker],TabCalc[Pile?])</f>
        <v xml:space="preserve">MVEUN0: </v>
      </c>
      <c r="BL65" s="351" t="s">
        <v>1955</v>
      </c>
      <c r="BM65" s="755" t="str" cm="1">
        <f t="array" aca="1" ref="BM65" ca="1">_xlfn.TEXTJOIN("",,INDEX({"M","A","Y"}, _xlfn.SORTBY({1,2,3}, -CHOOSE({1,2,3}, Tab_NewTRADER[[#This Row],[M]], Tab_NewTRADER[[#This Row],[A]], Tab_NewTRADER[[#This Row],[Agiotage]]))))</f>
        <v>AMY</v>
      </c>
      <c r="BN65" s="909" cm="1">
        <f t="array" aca="1" ref="BN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0.31315789473684202</v>
      </c>
      <c r="BO65" s="679" t="e">
        <f ca="1">Tab_NewTRADER[[#This Row],[L_Sn]]*Tab_NewTRADER[[#This Row],[L_Sp]]+Tab_NewTRADER[[#This Row],[SellMore]]*Tab_NewTRADER[[#This Row],[M]]</f>
        <v>#N/A</v>
      </c>
      <c r="BP65" s="679" t="e">
        <f ca="1">INDEX(
  INDEX(TabConsolid[], , _xlfn.XMATCH(Tab_NewTRADER[[#This Row],[ClickTick]]&amp;1, TabConsolid[#Headers])),
  MATCH(
    -Tab_NewTRADER[[#This Row],[M]],
    INDEX(TabConsolid[], , _xlfn.XMATCH(Tab_NewTRADER[[#This Row],[ClickTick]]&amp;2, TabConsolid[#Headers])),
    -1
  )
)</f>
        <v>#N/A</v>
      </c>
      <c r="BQ65" s="679" cm="1">
        <f t="array" aca="1" ref="BQ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R65" s="1156" t="e">
        <f ca="1">Tab_NewTRADER[[#This Row],[ReBuy]]/(Tab_NewTRADER[[#This Row],[L_Sn]]+Tab_NewTRADER[[#This Row],[SellMore]])</f>
        <v>#N/A</v>
      </c>
      <c r="BS65" s="687">
        <f ca="1">((_xlfn.XLOOKUP(Tab_NewTRADER[[#This Row],[ClickTick]],TabCalc[Ticker],TabCalc[NAfter])+Tab_NewTRADER[[#This Row],[L_Sn]])*(Tab_NewTRADER[[#This Row],[Agiotage]]-Tab_NewTRADER[[#This Row],[M]]))/(Tab_NewTRADER[[#This Row],[L_Sn]]*_xlfn.XLOOKUP(Tab_NewTRADER[[#This Row],[ClickTick]],TabCalc[Ticker],TabCalc[NAfter]))</f>
        <v>-0.10925100051796727</v>
      </c>
      <c r="BT65" s="687">
        <f ca="1">(Tab_NewTRADER[[#This Row],[M]]-Tab_NewTRADER[[#This Row],[Agiotage]])/(Tab_NewTRADER[[#This Row],[M]]-Tab_NewTRADER[[#This Row],[A]])-1</f>
        <v>-3.1195918285097237</v>
      </c>
      <c r="BU65" s="1277">
        <f ca="1">_xlfn.XMATCH(Tab_NewTRADER[[#This Row],[ClickTick]]&amp;1, TabConsolid[#Headers])</f>
        <v>191</v>
      </c>
      <c r="BV65" t="str">
        <f ca="1">IF(ABS(Tab_NewTRADER[[#This Row],[L_Bp]])&gt;=Tab_NewTRADER[[#This Row],[M]],"OK")</f>
        <v>OK</v>
      </c>
    </row>
    <row r="66" spans="1:74"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+20,067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25.8%</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72/350=19,365</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22,067$</v>
      </c>
      <c r="G66" s="225" t="str">
        <f ca="1">IFERROR(TRUNC(_xlfn.XLOOKUP(Tab_NewTRADER[[#This Row],[ClickTick]],TabCalc[Ticker],ListLastSalep),2)&amp;"x"&amp;_xlfn.XLOOKUP(Tab_NewTRADER[[#This Row],[ClickTick]],TabCalc[Ticker],ListLastSalen)&amp;"=   "&amp;TEXT(-_xlfn.XLOOKUP(Tab_NewTRADER[[#This Row],[ClickTick]],TabCalc[Ticker],ListReverseB),"#,#0")&amp;"$","")</f>
        <v>260x150=   1,200$</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0</v>
      </c>
      <c r="I66" s="226" t="str">
        <f ca="1">IFERROR(TRUNC(TabCalc[[#This Row],[L_S1p]],2)&amp;"x"&amp;TabCalc[[#This Row],[L_S1n]]&amp;"=   "&amp;TEXT(TabCalc[[#This Row],[ReverseB1]],"#,#0"),"")</f>
        <v>230.21x300=   -11,336</v>
      </c>
      <c r="J66" s="295">
        <f ca="1">_xlfn.XLOOKUP(Tab_NewTRADER[[#This Row],[ClickTick]],TabCalc[Ticker],ListGravity)</f>
        <v>1.0314703895939132</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0.75361006056948199</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0.3480734406438632</v>
      </c>
      <c r="S66" s="683">
        <f ca="1">_xlfn.XLOOKUP(Tab_NewTRADER[[#This Row],[ClickTick]],TabCalc[Ticker],TabCalc[Rev(MinStock)])*(1-Commission)</f>
        <v>20014.955462000002</v>
      </c>
      <c r="T66" s="782">
        <f ca="1">_xlfn.XLOOKUP(Tab_NewTRADER[[#This Row],[ClickTick]],TabCalc[Ticker],TabCalc[Agiotage])</f>
        <v>0.75361006056948199</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-621/-621=&gt;-0.7% / -0.7%</v>
      </c>
      <c r="V66" s="739" t="str">
        <f ca="1">_xlfn.XLOOKUP(Tab_NewTRADER[[#This Row],[ClickTick]],[1]!RTData[Ticker_Symbol],[1]!RTData[Currency])</f>
        <v>USD</v>
      </c>
      <c r="W66" s="749">
        <f ca="1">_xlfn.XLOOKUP(Tab_NewTRADER[[#This Row],[ClickTick]],TabCalc[Ticker],TabCalc[M])</f>
        <v>267.99700000000001</v>
      </c>
      <c r="X66" s="1343"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^126 / 94 K$</v>
      </c>
      <c r="AE66" s="1195" t="str" cm="1">
        <f t="array" aca="1" ref="AE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6" s="1177" t="str" cm="1">
        <f t="array" aca="1" ref="AF66" ca="1">_xlfn.IFS(       Tab_NewTRADER[[#This Row],[Trap_vs_Last]]=RePurchaseGain,TEXT(Tab_NewTRADER[[#This Row],[L_Sn]],"#,#0")&amp;" x "&amp;TEXT(Tab_NewTRADER[[#This Row],[L_Sp]],"#,#0.#0"),     Tab_NewTRADER[[#This Row],[Trap_vs_Last]]=ReSaleGain,Tab_NewTRADER[[#This Row],[ToSell]],               TRUE,"")</f>
        <v/>
      </c>
      <c r="AG66" s="1177" t="str" cm="1">
        <f t="array" aca="1" ref="AG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H66" s="1370" t="str">
        <f ca="1">TEXT(MIN(Tab_NewTRADER[[#This Row],[L_Bn]],Tab_NewTRADER[[#This Row],[N]]),"#,#0")&amp;" x "&amp;TEXT(Tab_NewTRADER[[#This Row],[L_Bp]],"#,#0.#0")</f>
        <v>290 x -198.80</v>
      </c>
      <c r="AI66" s="1370">
        <f ca="1">IF(Tab_NewTRADER[[#This Row],[M]]&lt;_xlfn.XLOOKUP(Tab_NewTRADER[[#This Row],[ClickTick]],TabCalc[Ticker],TabCalc[Max_Buy_P]), 0,Tab_NewTRADER[[#This Row],[Sale_Back_$]])</f>
        <v>20014.955462000002</v>
      </c>
      <c r="AJ66" s="1370" t="str">
        <f ca="1">TEXT(Tab_NewTRADER[[#This Row],[L_Sn]],"#,#0")&amp;" ("&amp;Tab_NewTRADER[[#This Row],[M]]&amp;"/"&amp;TEXT(Tab_NewTRADER[[#This Row],[L_Sp]],"#,#0.#0)")</f>
        <v>150 (267.997/260.0)</v>
      </c>
      <c r="AK66" s="1370">
        <f ca="1">IF(Tab_NewTRADER[[#This Row],[M]]&lt;_xlfn.XLOOKUP(Tab_NewTRADER[[#This Row],[ClickTick]],TabCalc[Ticker],TabCalc[Max_Buy_P]), -Tab_NewTRADER[[#This Row],[Buy_Back]], 0)</f>
        <v>0</v>
      </c>
      <c r="AL66" s="1177" cm="1">
        <f t="array" aca="1" ref="AL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1196.4311700000019</v>
      </c>
      <c r="AM66" s="1177">
        <f ca="1">Tab_NewTRADER[[#This Row],[N]]*(Tab_NewTRADER[[#This Row],[M]]-Tab_NewTRADER[[#This Row],[A]])*(1-Commission)*Tab_NewTRADER[[#This Row],[Scale]]</f>
        <v>23787.98082392001</v>
      </c>
      <c r="AN66" s="1177">
        <f ca="1">Tab_NewTRADER[[#This Row],[M]]*Tab_NewTRADER[[#This Row],[N]]*(1-Commission)*Tab_NewTRADER[[#This Row],[Scale]]</f>
        <v>93555.072730000014</v>
      </c>
      <c r="AO66" s="1186" cm="1">
        <f t="array" aca="1" ref="AO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0.34096276874981735</v>
      </c>
      <c r="AP66" s="1186" cm="1">
        <f t="array" aca="1" ref="AP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2.7239886267383641E-2</v>
      </c>
      <c r="AQ66" s="825" cm="1">
        <f t="array" aca="1" ref="AQ66" ca="1">_xlfn.IFS(   Tab_NewTRADER[[#This Row],[Trap_vs_Last]]=SellMorePercentGain,                     MIN(Tab_NewTRADER[[#This Row],[L_Sn]],Tab_NewTRADER[[#This Row],[N]])*(Tab_NewTRADER[[#This Row],[M]]-Tab_NewTRADER[[#This Row],[L_Sp]])*(1-Commission)*Tab_NewTRADER[[#This Row],[Scale]],                    TRUE,"")</f>
        <v>1196.4311700000019</v>
      </c>
      <c r="AR66" s="1175">
        <f ca="1">_xlfn.XLOOKUP(Tab_NewTRADER[[#This Row],[ClickTick]],TabCalc[Ticker],TabCalc[Ann%RevLB])</f>
        <v>0.84098280960933391</v>
      </c>
      <c r="AS66" s="1282">
        <f ca="1">_xlfn.XLOOKUP(Tab_NewTRADER[[#This Row],[ClickTick]],TabCalc[Ticker],TabCalc[Up20])</f>
        <v>0</v>
      </c>
      <c r="AT66" s="310" t="str" cm="1">
        <f t="array" aca="1" ref="AT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6" s="825" t="str" cm="1">
        <f t="array" aca="1" ref="AU66" ca="1">_xlfn.IFS(         Tab_NewTRADER[[#This Row],[Trap_vs_Last]]=MDown,Tab_NewTRADER[[#This Row],[L_Bn]]*Tab_NewTRADER[[#This Row],[M]]*(-(Tab_NewTRADER[[#This Row],[L_Bp]]+Tab_NewTRADER[[#This Row],[M]])/Tab_NewTRADER[[#This Row],[M]])*(1-Commission)*Tab_NewTRADER[[#This Row],[Scale]],                               TRUE,"")</f>
        <v/>
      </c>
      <c r="AV66" s="1186" cm="1">
        <f t="array" aca="1" ref="AV66" ca="1">_xlfn.IFS(   Tab_NewTRADER[[#This Row],[Trap_vs_Last]]=MUp,Tab_NewTRADER[[#This Row],[TakeGain_A]]-Commission,        Tab_NewTRADER[[#This Row],[Trap_vs_Last]]=MDown,(Tab_NewTRADER[[#This Row],[A]]-Tab_NewTRADER[[#This Row],[M]])/Tab_NewTRADER[[#This Row],[M]]-Commission,                              TRUE,"")</f>
        <v>0.33836276874981736</v>
      </c>
      <c r="AW66" s="825" cm="1">
        <f t="array" aca="1" ref="AW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31898.796628611333</v>
      </c>
      <c r="AX66" s="760" t="str" cm="1">
        <f t="array" aca="1" ref="AX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66" s="736" t="str" cm="1">
        <f t="array" aca="1" ref="AY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290x68.14</v>
      </c>
      <c r="AZ66" s="765" cm="1">
        <f t="array" aca="1" ref="AZ66" ca="1">_xlfn.IFS(Tab_NewTRADER[[#This Row],[Trap_vs_Last]]=ReSaleGain,"",         Tab_NewTRADER[[#This Row],[Trap_vs_Last]]=MDown, (Tab_NewTRADER[[#This Row],[M]]-Tab_NewTRADER[[#This Row],[A]])/Tab_NewTRADER[[#This Row],[A]]*ComFactor,             TRUE, IFERROR((Tab_NewTRADER[[#This Row],[M]]-Tab_NewTRADER[[#This Row],[A]])/Tab_NewTRADER[[#This Row],[A]]*ComFactor,""))</f>
        <v>0.34007626555106779</v>
      </c>
      <c r="BA66" s="762" cm="1">
        <f t="array" aca="1" ref="BA66" ca="1">_xlfn.IFS(               Tab_NewTRADER[[#This Row],[Trap_vs_Last]]=NoStock,(Tab_NewTRADER[[#This Row],[L_Sp]]-Tab_NewTRADER[[#This Row],[M]])/Tab_NewTRADER[[#This Row],[M]]-Commission,             Tab_NewTRADER[[#This Row],[A]]&lt;&gt;0,(Tab_NewTRADER[[#This Row],[A]]-Tab_NewTRADER[[#This Row],[M]])/Tab_NewTRADER[[#This Row],[M]]-Commission)</f>
        <v>-0.25686714051703147</v>
      </c>
      <c r="BB66" s="324">
        <f ca="1">_xlfn.XLOOKUP(Tab_NewTRADER[[#This Row],[ClickTick]],TabCalc[Ticker],TabCalc[L_Sn])</f>
        <v>150</v>
      </c>
      <c r="BC66" s="728">
        <f ca="1">_xlfn.XLOOKUP(Tab_NewTRADER[[#This Row],[ClickTick]],TabCalc[Ticker],TabCalc[L_Sp])</f>
        <v>260</v>
      </c>
      <c r="BD66" s="764">
        <f ca="1">-IFERROR((Tab_NewTRADER[[#This Row],[M]]-Tab_NewTRADER[[#This Row],[L_Sp]])/Tab_NewTRADER[[#This Row],[L_Sp]],0)</f>
        <v>-3.0757692307692361E-2</v>
      </c>
      <c r="BE66" s="729">
        <f ca="1">MIN(Tab_NewTRADER[[#This Row],[L_Sn]],Tab_NewTRADER[[#This Row],[N]])*(Tab_NewTRADER[[#This Row],[M]]-Tab_NewTRADER[[#This Row],[L_Sp]])*(1-Commission)*Tab_NewTRADER[[#This Row],[Scale]]</f>
        <v>1196.4311700000019</v>
      </c>
      <c r="BF66" s="692">
        <f ca="1">Tab_NewTRADER[[#This Row],[L_Sn]]*(Tab_NewTRADER[[#This Row],[Agiotage]]-Tab_NewTRADER[[#This Row],[M]])/(Tab_NewTRADER[[#This Row],[L_Bn]]*Tab_NewTRADER[[#This Row],[M]])</f>
        <v>-0.5157868917332783</v>
      </c>
      <c r="BG66" s="635">
        <f ca="1">IFERROR((Tab_NewTRADER[[#This Row],[M]]-Tab_NewTRADER[[#This Row],[A]])/Tab_NewTRADER[[#This Row],[A]],0)</f>
        <v>0.34096276874981735</v>
      </c>
      <c r="BH66" s="638" t="str">
        <f ca="1">TEXT(_xlfn.XLOOKUP(Tab_NewTRADER[[#This Row],[ClickTick]],TabCalc[Ticker],TabCalc[NAfter]),"#,#0")&amp;" : "&amp;TEXT(_xlfn.XLOOKUP(Tab_NewTRADER[[#This Row],[ClickTick]],TabCalc[Ticker],TabCalc[NAfter])*(Tab_NewTRADER[[#This Row],[M]]-Tab_NewTRADER[[#This Row],[A]])*(1-Commission)*Tab_NewTRADER[[#This Row],[Scale]],"#,#0$")</f>
        <v>350 : 23,788$</v>
      </c>
      <c r="BI66" s="684">
        <f ca="1">_xlfn.XLOOKUP(Tab_NewTRADER[[#This Row],[ClickTick]],TabCalc[[#This Row],[Ticker]],TabCalc[[#This Row],[GL]])*(1-Commission)</f>
        <v>126025.27014599997</v>
      </c>
      <c r="BJ66" s="684"/>
      <c r="BK66" s="669" t="str">
        <f ca="1">Tab_NewTRADER[[#This Row],[ClickTick]]&amp;": "&amp;_xlfn.XLOOKUP(Tab_NewTRADER[[#This Row],[ClickTick]],TabCalc[Ticker],TabCalc[Pile?])</f>
        <v xml:space="preserve">SAFAAPL: </v>
      </c>
      <c r="BL66" s="351" t="s">
        <v>1956</v>
      </c>
      <c r="BM66" s="755" t="str" cm="1">
        <f t="array" aca="1" ref="BM66" ca="1">_xlfn.TEXTJOIN("",,INDEX({"M","A","Y"}, _xlfn.SORTBY({1,2,3}, -CHOOSE({1,2,3}, Tab_NewTRADER[[#This Row],[M]], Tab_NewTRADER[[#This Row],[A]], Tab_NewTRADER[[#This Row],[Agiotage]]))))</f>
        <v>MAY</v>
      </c>
      <c r="BN66" s="909" cm="1">
        <f t="array" aca="1" ref="BN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2.9839886267383642E-2</v>
      </c>
      <c r="BO66" s="679">
        <f ca="1">Tab_NewTRADER[[#This Row],[L_Sn]]*Tab_NewTRADER[[#This Row],[L_Sp]]+Tab_NewTRADER[[#This Row],[SellMore]]*Tab_NewTRADER[[#This Row],[M]]</f>
        <v>55079.82</v>
      </c>
      <c r="BP66" s="679">
        <f ca="1">INDEX(
  INDEX(TabConsolid[], , _xlfn.XMATCH(Tab_NewTRADER[[#This Row],[ClickTick]]&amp;1, TabConsolid[#Headers])),
  MATCH(
    -Tab_NewTRADER[[#This Row],[M]],
    INDEX(TabConsolid[], , _xlfn.XMATCH(Tab_NewTRADER[[#This Row],[ClickTick]]&amp;2, TabConsolid[#Headers])),
    -1
  )
)</f>
        <v>60</v>
      </c>
      <c r="BQ66" s="679" cm="1">
        <f t="array" aca="1" ref="BQ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R66" s="1156">
        <f ca="1">Tab_NewTRADER[[#This Row],[ReBuy]]/(Tab_NewTRADER[[#This Row],[L_Sn]]+Tab_NewTRADER[[#This Row],[SellMore]])</f>
        <v>262.28485714285716</v>
      </c>
      <c r="BS66" s="687">
        <f ca="1">((_xlfn.XLOOKUP(Tab_NewTRADER[[#This Row],[ClickTick]],TabCalc[Ticker],TabCalc[NAfter])+Tab_NewTRADER[[#This Row],[L_Sn]])*(Tab_NewTRADER[[#This Row],[Agiotage]]-Tab_NewTRADER[[#This Row],[M]]))/(Tab_NewTRADER[[#This Row],[L_Sn]]*_xlfn.XLOOKUP(Tab_NewTRADER[[#This Row],[ClickTick]],TabCalc[Ticker],TabCalc[NAfter]))</f>
        <v>-2.5451751422802906</v>
      </c>
      <c r="BT66" s="687">
        <f ca="1">(Tab_NewTRADER[[#This Row],[M]]-Tab_NewTRADER[[#This Row],[Agiotage]])/(Tab_NewTRADER[[#This Row],[M]]-Tab_NewTRADER[[#This Row],[A]])-1</f>
        <v>2.9218122666445914</v>
      </c>
      <c r="BU66" s="1277">
        <f ca="1">_xlfn.XMATCH(Tab_NewTRADER[[#This Row],[ClickTick]]&amp;1, TabConsolid[#Headers])</f>
        <v>194</v>
      </c>
      <c r="BV66" t="b">
        <f ca="1">IF(ABS(Tab_NewTRADER[[#This Row],[L_Bp]])&gt;=Tab_NewTRADER[[#This Row],[M]],"OK")</f>
        <v>0</v>
      </c>
    </row>
    <row r="67" spans="1:74"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+15,655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12.8%</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160/1,500=39,055</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12,768$</v>
      </c>
      <c r="G67" s="225" t="str">
        <f ca="1">IFERROR(TRUNC(_xlfn.XLOOKUP(Tab_NewTRADER[[#This Row],[ClickTick]],TabCalc[Ticker],ListLastSalep),2)&amp;"x"&amp;_xlfn.XLOOKUP(Tab_NewTRADER[[#This Row],[ClickTick]],TabCalc[Ticker],ListLastSalen)&amp;"=   "&amp;TEXT(-_xlfn.XLOOKUP(Tab_NewTRADER[[#This Row],[ClickTick]],TabCalc[Ticker],ListReverseB),"#,#0")&amp;"$","")</f>
        <v>221.65x500=   11,455$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-9.4% = 0</v>
      </c>
      <c r="I67" s="226" t="str">
        <f ca="1">IFERROR(TRUNC(TabCalc[[#This Row],[L_S1p]],2)&amp;"x"&amp;TabCalc[[#This Row],[L_S1n]]&amp;"=   "&amp;TEXT(TabCalc[[#This Row],[ReverseB1]],"#,#0"),"")</f>
        <v>232.72x500=   -5,920</v>
      </c>
      <c r="J67" s="295">
        <f ca="1">_xlfn.XLOOKUP(Tab_NewTRADER[[#This Row],[ClickTick]],TabCalc[Ticker],ListGravity)</f>
        <v>1.1793592574419365</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0.6942070189669548</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0.1468229777256741</v>
      </c>
      <c r="S67" s="683">
        <f ca="1">_xlfn.XLOOKUP(Tab_NewTRADER[[#This Row],[ClickTick]],TabCalc[Ticker],TabCalc[Rev(MinStock)])*(1-Commission)</f>
        <v>15614.297</v>
      </c>
      <c r="T67" s="782">
        <f ca="1">_xlfn.XLOOKUP(Tab_NewTRADER[[#This Row],[ClickTick]],TabCalc[Ticker],TabCalc[Agiotage])</f>
        <v>0.6942070189669548</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2,340/2,340=&gt;0.6% / 0.6%</v>
      </c>
      <c r="V67" s="739" t="str">
        <f ca="1">_xlfn.XLOOKUP(Tab_NewTRADER[[#This Row],[ClickTick]],[1]!RTData[Ticker_Symbol],[1]!RTData[Currency])</f>
        <v>USD</v>
      </c>
      <c r="W67" s="749">
        <f ca="1">_xlfn.XLOOKUP(Tab_NewTRADER[[#This Row],[ClickTick]],TabCalc[Ticker],TabCalc[M])</f>
        <v>244.56</v>
      </c>
      <c r="X67" s="1343"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^195 / 367 K$</v>
      </c>
      <c r="AE67" s="1195" t="str" cm="1">
        <f t="array" aca="1" ref="AE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7" s="1177" t="str" cm="1">
        <f t="array" aca="1" ref="AF67" ca="1">_xlfn.IFS(       Tab_NewTRADER[[#This Row],[Trap_vs_Last]]=RePurchaseGain,TEXT(Tab_NewTRADER[[#This Row],[L_Sn]],"#,#0")&amp;" x "&amp;TEXT(Tab_NewTRADER[[#This Row],[L_Sp]],"#,#0.#0"),     Tab_NewTRADER[[#This Row],[Trap_vs_Last]]=ReSaleGain,Tab_NewTRADER[[#This Row],[ToSell]],               TRUE,"")</f>
        <v/>
      </c>
      <c r="AG67" s="1177" t="str" cm="1">
        <f t="array" aca="1" ref="AG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H67" s="1370" t="str">
        <f ca="1">TEXT(MIN(Tab_NewTRADER[[#This Row],[L_Bn]],Tab_NewTRADER[[#This Row],[N]]),"#,#0")&amp;" x "&amp;TEXT(Tab_NewTRADER[[#This Row],[L_Bp]],"#,#0.#0")</f>
        <v>500 x -213.25</v>
      </c>
      <c r="AI67" s="1370">
        <f ca="1">IF(Tab_NewTRADER[[#This Row],[M]]&lt;_xlfn.XLOOKUP(Tab_NewTRADER[[#This Row],[ClickTick]],TabCalc[Ticker],TabCalc[Max_Buy_P]), 0,Tab_NewTRADER[[#This Row],[Sale_Back_$]])</f>
        <v>15614.297</v>
      </c>
      <c r="AJ67" s="1370" t="str">
        <f ca="1">TEXT(Tab_NewTRADER[[#This Row],[L_Sn]],"#,#0")&amp;" ("&amp;Tab_NewTRADER[[#This Row],[M]]&amp;"/"&amp;TEXT(Tab_NewTRADER[[#This Row],[L_Sp]],"#,#0.#0)")</f>
        <v>500 (244.56/221.65)</v>
      </c>
      <c r="AK67" s="1370">
        <f ca="1">IF(Tab_NewTRADER[[#This Row],[M]]&lt;_xlfn.XLOOKUP(Tab_NewTRADER[[#This Row],[ClickTick]],TabCalc[Ticker],TabCalc[Max_Buy_P]), -Tab_NewTRADER[[#This Row],[Buy_Back]], 0)</f>
        <v>0</v>
      </c>
      <c r="AL67" s="1177" cm="1">
        <f t="array" aca="1" ref="AL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11425.216999999997</v>
      </c>
      <c r="AM67" s="1177">
        <f ca="1">Tab_NewTRADER[[#This Row],[N]]*(Tab_NewTRADER[[#This Row],[M]]-Tab_NewTRADER[[#This Row],[A]])*(1-Commission)*Tab_NewTRADER[[#This Row],[Scale]]</f>
        <v>59634.546000000017</v>
      </c>
      <c r="AN67" s="1177">
        <f ca="1">Tab_NewTRADER[[#This Row],[M]]*Tab_NewTRADER[[#This Row],[N]]*(1-Commission)*Tab_NewTRADER[[#This Row],[Scale]]</f>
        <v>365886.21599999996</v>
      </c>
      <c r="AO67" s="1186" cm="1">
        <f t="array" aca="1" ref="AO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0.19472398632144611</v>
      </c>
      <c r="AP67" s="1186" cm="1">
        <f t="array" aca="1" ref="AP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9.107844291789334E-2</v>
      </c>
      <c r="AQ67" s="825" cm="1">
        <f t="array" aca="1" ref="AQ67" ca="1">_xlfn.IFS(   Tab_NewTRADER[[#This Row],[Trap_vs_Last]]=SellMorePercentGain,                     MIN(Tab_NewTRADER[[#This Row],[L_Sn]],Tab_NewTRADER[[#This Row],[N]])*(Tab_NewTRADER[[#This Row],[M]]-Tab_NewTRADER[[#This Row],[L_Sp]])*(1-Commission)*Tab_NewTRADER[[#This Row],[Scale]],                    TRUE,"")</f>
        <v>11425.216999999997</v>
      </c>
      <c r="AR67" s="1175">
        <f ca="1">_xlfn.XLOOKUP(Tab_NewTRADER[[#This Row],[ClickTick]],TabCalc[Ticker],TabCalc[Ann%RevLB])</f>
        <v>0.35474008041102467</v>
      </c>
      <c r="AS67" s="1282">
        <f ca="1">_xlfn.XLOOKUP(Tab_NewTRADER[[#This Row],[ClickTick]],TabCalc[Ticker],TabCalc[Up20])</f>
        <v>0</v>
      </c>
      <c r="AT67" s="310" t="str" cm="1">
        <f t="array" aca="1" ref="AT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7" s="825" t="str" cm="1">
        <f t="array" aca="1" ref="AU67" ca="1">_xlfn.IFS(         Tab_NewTRADER[[#This Row],[Trap_vs_Last]]=MDown,Tab_NewTRADER[[#This Row],[L_Bn]]*Tab_NewTRADER[[#This Row],[M]]*(-(Tab_NewTRADER[[#This Row],[L_Bp]]+Tab_NewTRADER[[#This Row],[M]])/Tab_NewTRADER[[#This Row],[M]])*(1-Commission)*Tab_NewTRADER[[#This Row],[Scale]],                               TRUE,"")</f>
        <v/>
      </c>
      <c r="AV67" s="1186" cm="1">
        <f t="array" aca="1" ref="AV67" ca="1">_xlfn.IFS(   Tab_NewTRADER[[#This Row],[Trap_vs_Last]]=MUp,Tab_NewTRADER[[#This Row],[TakeGain_A]]-Commission,        Tab_NewTRADER[[#This Row],[Trap_vs_Last]]=MDown,(Tab_NewTRADER[[#This Row],[A]]-Tab_NewTRADER[[#This Row],[M]])/Tab_NewTRADER[[#This Row],[M]]-Commission,                              TRUE,"")</f>
        <v>0.19212398632144612</v>
      </c>
      <c r="AW67" s="825" cm="1">
        <f t="array" aca="1" ref="AW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71246.822519589681</v>
      </c>
      <c r="AX67" s="760" t="str" cm="1">
        <f t="array" aca="1" ref="AX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67" s="736" t="str" cm="1">
        <f t="array" aca="1" ref="AY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500x39.86</v>
      </c>
      <c r="AZ67" s="765" cm="1">
        <f t="array" aca="1" ref="AZ67" ca="1">_xlfn.IFS(Tab_NewTRADER[[#This Row],[Trap_vs_Last]]=ReSaleGain,"",         Tab_NewTRADER[[#This Row],[Trap_vs_Last]]=MDown, (Tab_NewTRADER[[#This Row],[M]]-Tab_NewTRADER[[#This Row],[A]])/Tab_NewTRADER[[#This Row],[A]]*ComFactor,             TRUE, IFERROR((Tab_NewTRADER[[#This Row],[M]]-Tab_NewTRADER[[#This Row],[A]])/Tab_NewTRADER[[#This Row],[A]]*ComFactor,""))</f>
        <v>0.19421770395701035</v>
      </c>
      <c r="BA67" s="762" cm="1">
        <f t="array" aca="1" ref="BA67" ca="1">_xlfn.IFS(               Tab_NewTRADER[[#This Row],[Trap_vs_Last]]=NoStock,(Tab_NewTRADER[[#This Row],[L_Sp]]-Tab_NewTRADER[[#This Row],[M]])/Tab_NewTRADER[[#This Row],[M]]-Commission,             Tab_NewTRADER[[#This Row],[A]]&lt;&gt;0,(Tab_NewTRADER[[#This Row],[A]]-Tab_NewTRADER[[#This Row],[M]])/Tab_NewTRADER[[#This Row],[M]]-Commission)</f>
        <v>-0.16558658815832519</v>
      </c>
      <c r="BB67" s="324">
        <f ca="1">_xlfn.XLOOKUP(Tab_NewTRADER[[#This Row],[ClickTick]],TabCalc[Ticker],TabCalc[L_Sn])</f>
        <v>500</v>
      </c>
      <c r="BC67" s="728">
        <f ca="1">_xlfn.XLOOKUP(Tab_NewTRADER[[#This Row],[ClickTick]],TabCalc[Ticker],TabCalc[L_Sp])</f>
        <v>221.65</v>
      </c>
      <c r="BD67" s="764">
        <f ca="1">-IFERROR((Tab_NewTRADER[[#This Row],[M]]-Tab_NewTRADER[[#This Row],[L_Sp]])/Tab_NewTRADER[[#This Row],[L_Sp]],0)</f>
        <v>-0.10336115497405818</v>
      </c>
      <c r="BE67" s="729">
        <f ca="1">MIN(Tab_NewTRADER[[#This Row],[L_Sn]],Tab_NewTRADER[[#This Row],[N]])*(Tab_NewTRADER[[#This Row],[M]]-Tab_NewTRADER[[#This Row],[L_Sp]])*(1-Commission)*Tab_NewTRADER[[#This Row],[Scale]]</f>
        <v>11425.216999999997</v>
      </c>
      <c r="BF67" s="692">
        <f ca="1">Tab_NewTRADER[[#This Row],[L_Sn]]*(Tab_NewTRADER[[#This Row],[Agiotage]]-Tab_NewTRADER[[#This Row],[M]])/(Tab_NewTRADER[[#This Row],[L_Bn]]*Tab_NewTRADER[[#This Row],[M]])</f>
        <v>-0.99716140407684428</v>
      </c>
      <c r="BG67" s="635">
        <f ca="1">IFERROR((Tab_NewTRADER[[#This Row],[M]]-Tab_NewTRADER[[#This Row],[A]])/Tab_NewTRADER[[#This Row],[A]],0)</f>
        <v>0.19472398632144611</v>
      </c>
      <c r="BH67" s="638" t="str">
        <f ca="1">TEXT(_xlfn.XLOOKUP(Tab_NewTRADER[[#This Row],[ClickTick]],TabCalc[Ticker],TabCalc[NAfter]),"#,#0")&amp;" : "&amp;TEXT(_xlfn.XLOOKUP(Tab_NewTRADER[[#This Row],[ClickTick]],TabCalc[Ticker],TabCalc[NAfter])*(Tab_NewTRADER[[#This Row],[M]]-Tab_NewTRADER[[#This Row],[A]])*(1-Commission)*Tab_NewTRADER[[#This Row],[Scale]],"#,#0$")</f>
        <v>1,500 : 59,635$</v>
      </c>
      <c r="BI67" s="684">
        <f ca="1">_xlfn.XLOOKUP(Tab_NewTRADER[[#This Row],[ClickTick]],TabCalc[[#This Row],[Ticker]],TabCalc[[#This Row],[GL]])*(1-Commission)</f>
        <v>194681.35001339999</v>
      </c>
      <c r="BJ67" s="684"/>
      <c r="BK67" s="669" t="str">
        <f ca="1">Tab_NewTRADER[[#This Row],[ClickTick]]&amp;": "&amp;_xlfn.XLOOKUP(Tab_NewTRADER[[#This Row],[ClickTick]],TabCalc[Ticker],TabCalc[Pile?])</f>
        <v xml:space="preserve">SAFAMZN: </v>
      </c>
      <c r="BL67" s="351" t="s">
        <v>1957</v>
      </c>
      <c r="BM67" s="755" t="str" cm="1">
        <f t="array" aca="1" ref="BM67" ca="1">_xlfn.TEXTJOIN("",,INDEX({"M","A","Y"}, _xlfn.SORTBY({1,2,3}, -CHOOSE({1,2,3}, Tab_NewTRADER[[#This Row],[M]], Tab_NewTRADER[[#This Row],[A]], Tab_NewTRADER[[#This Row],[Agiotage]]))))</f>
        <v>MAY</v>
      </c>
      <c r="BN67" s="909" cm="1">
        <f t="array" aca="1" ref="BN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9.3678442917893345E-2</v>
      </c>
      <c r="BO67" s="679">
        <f ca="1">Tab_NewTRADER[[#This Row],[L_Sn]]*Tab_NewTRADER[[#This Row],[L_Sp]]+Tab_NewTRADER[[#This Row],[SellMore]]*Tab_NewTRADER[[#This Row],[M]]</f>
        <v>171965</v>
      </c>
      <c r="BP67" s="679">
        <f ca="1">INDEX(
  INDEX(TabConsolid[], , _xlfn.XMATCH(Tab_NewTRADER[[#This Row],[ClickTick]]&amp;1, TabConsolid[#Headers])),
  MATCH(
    -Tab_NewTRADER[[#This Row],[M]],
    INDEX(TabConsolid[], , _xlfn.XMATCH(Tab_NewTRADER[[#This Row],[ClickTick]]&amp;2, TabConsolid[#Headers])),
    -1
  )
)</f>
        <v>250</v>
      </c>
      <c r="BQ67" s="679" cm="1">
        <f t="array" aca="1" ref="BQ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R67" s="1156">
        <f ca="1">Tab_NewTRADER[[#This Row],[ReBuy]]/(Tab_NewTRADER[[#This Row],[L_Sn]]+Tab_NewTRADER[[#This Row],[SellMore]])</f>
        <v>229.28666666666666</v>
      </c>
      <c r="BS67" s="687">
        <f ca="1">((_xlfn.XLOOKUP(Tab_NewTRADER[[#This Row],[ClickTick]],TabCalc[Ticker],TabCalc[NAfter])+Tab_NewTRADER[[#This Row],[L_Sn]])*(Tab_NewTRADER[[#This Row],[Agiotage]]-Tab_NewTRADER[[#This Row],[M]]))/(Tab_NewTRADER[[#This Row],[L_Sn]]*_xlfn.XLOOKUP(Tab_NewTRADER[[#This Row],[ClickTick]],TabCalc[Ticker],TabCalc[NAfter]))</f>
        <v>-0.65030878128275482</v>
      </c>
      <c r="BT67" s="687">
        <f ca="1">(Tab_NewTRADER[[#This Row],[M]]-Tab_NewTRADER[[#This Row],[Agiotage]])/(Tab_NewTRADER[[#This Row],[M]]-Tab_NewTRADER[[#This Row],[A]])-1</f>
        <v>5.1180580276225029</v>
      </c>
      <c r="BU67" s="1277">
        <f ca="1">_xlfn.XMATCH(Tab_NewTRADER[[#This Row],[ClickTick]]&amp;1, TabConsolid[#Headers])</f>
        <v>197</v>
      </c>
      <c r="BV67" t="b">
        <f ca="1">IF(ABS(Tab_NewTRADER[[#This Row],[L_Bp]])&gt;=Tab_NewTRADER[[#This Row],[M]],"OK")</f>
        <v>0</v>
      </c>
    </row>
    <row r="68" spans="1:74"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+19,298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31.7%</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18/250=15,793</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10,465$</v>
      </c>
      <c r="G68" s="225" t="str">
        <f ca="1">IFERROR(TRUNC(_xlfn.XLOOKUP(Tab_NewTRADER[[#This Row],[ClickTick]],TabCalc[Ticker],ListLastSalep),2)&amp;"x"&amp;_xlfn.XLOOKUP(Tab_NewTRADER[[#This Row],[ClickTick]],TabCalc[Ticker],ListLastSalen)&amp;"=   "&amp;TEXT(-_xlfn.XLOOKUP(Tab_NewTRADER[[#This Row],[ClickTick]],TabCalc[Ticker],ListReverseB),"#,#0")&amp;"$","")</f>
        <v>660.2x54=   11,372$</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-24.2% = 0</v>
      </c>
      <c r="I68" s="226" t="str">
        <f ca="1">IFERROR(TRUNC(TabCalc[[#This Row],[L_S1p]],2)&amp;"x"&amp;TabCalc[[#This Row],[L_S1n]]&amp;"=   "&amp;TEXT(TabCalc[[#This Row],[ReverseB1]],"#,#0"),"")</f>
        <v>606.66x66=   -17,433</v>
      </c>
      <c r="J68" s="295">
        <f ca="1">_xlfn.XLOOKUP(Tab_NewTRADER[[#This Row],[ClickTick]],TabCalc[Ticker],ListGravity)</f>
        <v>1.08165280202113</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78372</v>
      </c>
      <c r="M68" s="323">
        <f ca="1">_xlfn.XLOOKUP(Tab_NewTRADER[[#This Row],[ClickTick]],TabCalc[Ticker],TabCalc[Agiotage])</f>
        <v>1.4227731762002704</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0.46325889331384101</v>
      </c>
      <c r="S68" s="683">
        <f ca="1">_xlfn.XLOOKUP(Tab_NewTRADER[[#This Row],[ClickTick]],TabCalc[Ticker],TabCalc[Rev(MinStock)])*(1-Commission)</f>
        <v>19248.124419999996</v>
      </c>
      <c r="T68" s="782">
        <f ca="1">_xlfn.XLOOKUP(Tab_NewTRADER[[#This Row],[ClickTick]],TabCalc[Ticker],TabCalc[Agiotage])</f>
        <v>1.4227731762002704</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-7,050/-7,050=&gt;-2.7% / -2.7%</v>
      </c>
      <c r="V68" s="739" t="str">
        <f ca="1">_xlfn.XLOOKUP(Tab_NewTRADER[[#This Row],[ClickTick]],[1]!RTData[Ticker_Symbol],[1]!RTData[Currency])</f>
        <v>EUR</v>
      </c>
      <c r="W68" s="749">
        <f ca="1">_xlfn.XLOOKUP(Tab_NewTRADER[[#This Row],[ClickTick]],TabCalc[Ticker],TabCalc[M])</f>
        <v>870.8</v>
      </c>
      <c r="X68" s="1343"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^176 / 218 K$</v>
      </c>
      <c r="AE68" s="1195" t="str" cm="1">
        <f t="array" aca="1" ref="AE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8" s="1177" t="str" cm="1">
        <f t="array" aca="1" ref="AF68" ca="1">_xlfn.IFS(       Tab_NewTRADER[[#This Row],[Trap_vs_Last]]=RePurchaseGain,TEXT(Tab_NewTRADER[[#This Row],[L_Sn]],"#,#0")&amp;" x "&amp;TEXT(Tab_NewTRADER[[#This Row],[L_Sp]],"#,#0.#0"),     Tab_NewTRADER[[#This Row],[Trap_vs_Last]]=ReSaleGain,Tab_NewTRADER[[#This Row],[ToSell]],               TRUE,"")</f>
        <v/>
      </c>
      <c r="AG68" s="1177" t="str" cm="1">
        <f t="array" aca="1" ref="AG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H68" s="1370" t="str">
        <f ca="1">TEXT(MIN(Tab_NewTRADER[[#This Row],[L_Bn]],Tab_NewTRADER[[#This Row],[N]]),"#,#0")&amp;" x "&amp;TEXT(Tab_NewTRADER[[#This Row],[L_Bp]],"#,#0.#0")</f>
        <v>70 x -595.11</v>
      </c>
      <c r="AI68" s="1370">
        <f ca="1">IF(Tab_NewTRADER[[#This Row],[M]]&lt;_xlfn.XLOOKUP(Tab_NewTRADER[[#This Row],[ClickTick]],TabCalc[Ticker],TabCalc[Max_Buy_P]), 0,Tab_NewTRADER[[#This Row],[Sale_Back_$]])</f>
        <v>19248.124419999996</v>
      </c>
      <c r="AJ68" s="1370" t="str">
        <f ca="1">TEXT(Tab_NewTRADER[[#This Row],[L_Sn]],"#,#0")&amp;" ("&amp;Tab_NewTRADER[[#This Row],[M]]&amp;"/"&amp;TEXT(Tab_NewTRADER[[#This Row],[L_Sp]],"#,#0.#0)")</f>
        <v>54 (870.8/660.20)</v>
      </c>
      <c r="AK68" s="1370">
        <f ca="1">IF(Tab_NewTRADER[[#This Row],[M]]&lt;_xlfn.XLOOKUP(Tab_NewTRADER[[#This Row],[ClickTick]],TabCalc[Ticker],TabCalc[Max_Buy_P]), -Tab_NewTRADER[[#This Row],[Buy_Back]], 0)</f>
        <v>0</v>
      </c>
      <c r="AL68" s="1177" cm="1">
        <f t="array" aca="1" ref="AL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11342.831759999994</v>
      </c>
      <c r="AM68" s="1177">
        <f ca="1">Tab_NewTRADER[[#This Row],[N]]*(Tab_NewTRADER[[#This Row],[M]]-Tab_NewTRADER[[#This Row],[A]])*(1-Commission)*Tab_NewTRADER[[#This Row],[Scale]]</f>
        <v>53966.084418799968</v>
      </c>
      <c r="AN68" s="1177">
        <f ca="1">Tab_NewTRADER[[#This Row],[M]]*Tab_NewTRADER[[#This Row],[N]]*(1-Commission)*Tab_NewTRADER[[#This Row],[Scale]]</f>
        <v>217133.97999999998</v>
      </c>
      <c r="AO68" s="1186" cm="1">
        <f t="array" aca="1" ref="AO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0.3307395993959113</v>
      </c>
      <c r="AP68" s="1186" cm="1">
        <f t="array" aca="1" ref="AP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0.23924657785943951</v>
      </c>
      <c r="AQ68" s="825" cm="1">
        <f t="array" aca="1" ref="AQ68" ca="1">_xlfn.IFS(   Tab_NewTRADER[[#This Row],[Trap_vs_Last]]=SellMorePercentGain,                     MIN(Tab_NewTRADER[[#This Row],[L_Sn]],Tab_NewTRADER[[#This Row],[N]])*(Tab_NewTRADER[[#This Row],[M]]-Tab_NewTRADER[[#This Row],[L_Sp]])*(1-Commission)*Tab_NewTRADER[[#This Row],[Scale]],                    TRUE,"")</f>
        <v>11342.831759999994</v>
      </c>
      <c r="AR68" s="1342">
        <f ca="1">_xlfn.XLOOKUP(Tab_NewTRADER[[#This Row],[ClickTick]],TabCalc[Ticker],TabCalc[Ann%RevLB])</f>
        <v>1.7932602321826103</v>
      </c>
      <c r="AS68" s="1281">
        <f ca="1">_xlfn.XLOOKUP(Tab_NewTRADER[[#This Row],[ClickTick]],TabCalc[Ticker],TabCalc[Up20])</f>
        <v>0</v>
      </c>
      <c r="AT68" s="1187" t="str" cm="1">
        <f t="array" aca="1" ref="AT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8" s="825" t="str" cm="1">
        <f t="array" aca="1" ref="AU68" ca="1">_xlfn.IFS(         Tab_NewTRADER[[#This Row],[Trap_vs_Last]]=MDown,Tab_NewTRADER[[#This Row],[L_Bn]]*Tab_NewTRADER[[#This Row],[M]]*(-(Tab_NewTRADER[[#This Row],[L_Bp]]+Tab_NewTRADER[[#This Row],[M]])/Tab_NewTRADER[[#This Row],[M]])*(1-Commission)*Tab_NewTRADER[[#This Row],[Scale]],                               TRUE,"")</f>
        <v/>
      </c>
      <c r="AV68" s="1186" cm="1">
        <f t="array" aca="1" ref="AV68" ca="1">_xlfn.IFS(   Tab_NewTRADER[[#This Row],[Trap_vs_Last]]=MUp,Tab_NewTRADER[[#This Row],[TakeGain_A]]-Commission,        Tab_NewTRADER[[#This Row],[Trap_vs_Last]]=MDown,(Tab_NewTRADER[[#This Row],[A]]-Tab_NewTRADER[[#This Row],[M]])/Tab_NewTRADER[[#This Row],[M]]-Commission,                              TRUE,"")</f>
        <v>0.32813959939591131</v>
      </c>
      <c r="AW68" s="825" cm="1">
        <f t="array" aca="1" ref="AW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71814.805560439811</v>
      </c>
      <c r="AX68" s="760" t="str" cm="1">
        <f t="array" aca="1" ref="AX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Y68" s="736" t="str" cm="1">
        <f t="array" aca="1" ref="AY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70x216.42</v>
      </c>
      <c r="AZ68" s="765" cm="1">
        <f t="array" aca="1" ref="AZ68" ca="1">_xlfn.IFS(Tab_NewTRADER[[#This Row],[Trap_vs_Last]]=ReSaleGain,"",         Tab_NewTRADER[[#This Row],[Trap_vs_Last]]=MDown, (Tab_NewTRADER[[#This Row],[M]]-Tab_NewTRADER[[#This Row],[A]])/Tab_NewTRADER[[#This Row],[A]]*ComFactor,             TRUE, IFERROR((Tab_NewTRADER[[#This Row],[M]]-Tab_NewTRADER[[#This Row],[A]])/Tab_NewTRADER[[#This Row],[A]]*ComFactor,""))</f>
        <v>0.32987967643748189</v>
      </c>
      <c r="BA68" s="762" cm="1">
        <f t="array" aca="1" ref="BA68" ca="1">_xlfn.IFS(               Tab_NewTRADER[[#This Row],[Trap_vs_Last]]=NoStock,(Tab_NewTRADER[[#This Row],[L_Sp]]-Tab_NewTRADER[[#This Row],[M]])/Tab_NewTRADER[[#This Row],[M]]-Commission,             Tab_NewTRADER[[#This Row],[A]]&lt;&gt;0,(Tab_NewTRADER[[#This Row],[A]]-Tab_NewTRADER[[#This Row],[M]])/Tab_NewTRADER[[#This Row],[M]]-Commission)</f>
        <v>-0.25113818098300406</v>
      </c>
      <c r="BB68" s="324">
        <f ca="1">_xlfn.XLOOKUP(Tab_NewTRADER[[#This Row],[ClickTick]],TabCalc[Ticker],TabCalc[L_Sn])</f>
        <v>54</v>
      </c>
      <c r="BC68" s="728">
        <f ca="1">_xlfn.XLOOKUP(Tab_NewTRADER[[#This Row],[ClickTick]],TabCalc[Ticker],TabCalc[L_Sp])</f>
        <v>660.2</v>
      </c>
      <c r="BD68" s="764">
        <f ca="1">-IFERROR((Tab_NewTRADER[[#This Row],[M]]-Tab_NewTRADER[[#This Row],[L_Sp]])/Tab_NewTRADER[[#This Row],[L_Sp]],0)</f>
        <v>-0.31899424416843364</v>
      </c>
      <c r="BE68" s="729">
        <f ca="1">MIN(Tab_NewTRADER[[#This Row],[L_Sn]],Tab_NewTRADER[[#This Row],[N]])*(Tab_NewTRADER[[#This Row],[M]]-Tab_NewTRADER[[#This Row],[L_Sp]])*(1-Commission)*Tab_NewTRADER[[#This Row],[Scale]]</f>
        <v>11342.831759999994</v>
      </c>
      <c r="BF68" s="692">
        <f ca="1">Tab_NewTRADER[[#This Row],[L_Sn]]*(Tab_NewTRADER[[#This Row],[Agiotage]]-Tab_NewTRADER[[#This Row],[M]])/(Tab_NewTRADER[[#This Row],[L_Bn]]*Tab_NewTRADER[[#This Row],[M]])</f>
        <v>-0.77016815815481954</v>
      </c>
      <c r="BG68" s="635">
        <f ca="1">IFERROR((Tab_NewTRADER[[#This Row],[M]]-Tab_NewTRADER[[#This Row],[A]])/Tab_NewTRADER[[#This Row],[A]],0)</f>
        <v>0.3307395993959113</v>
      </c>
      <c r="BH68" s="638" t="str">
        <f ca="1">TEXT(_xlfn.XLOOKUP(Tab_NewTRADER[[#This Row],[ClickTick]],TabCalc[Ticker],TabCalc[NAfter]),"#,#0")&amp;" : "&amp;TEXT(_xlfn.XLOOKUP(Tab_NewTRADER[[#This Row],[ClickTick]],TabCalc[Ticker],TabCalc[NAfter])*(Tab_NewTRADER[[#This Row],[M]]-Tab_NewTRADER[[#This Row],[A]])*(1-Commission)*Tab_NewTRADER[[#This Row],[Scale]],"#,#0$")</f>
        <v>250 : 53,966$</v>
      </c>
      <c r="BI68" s="684">
        <f ca="1">_xlfn.XLOOKUP(Tab_NewTRADER[[#This Row],[ClickTick]],TabCalc[[#This Row],[Ticker]],TabCalc[[#This Row],[GL]])*(1-Commission)</f>
        <v>175797.29354920003</v>
      </c>
      <c r="BJ68" s="684"/>
      <c r="BK68" s="669" t="str">
        <f ca="1">Tab_NewTRADER[[#This Row],[ClickTick]]&amp;": "&amp;_xlfn.XLOOKUP(Tab_NewTRADER[[#This Row],[ClickTick]],TabCalc[Ticker],TabCalc[Pile?])</f>
        <v xml:space="preserve">SAFASML: </v>
      </c>
      <c r="BL68" s="351" t="s">
        <v>1991</v>
      </c>
      <c r="BM68" s="755" t="str" cm="1">
        <f t="array" aca="1" ref="BM68" ca="1">_xlfn.TEXTJOIN("",,INDEX({"M","A","Y"}, _xlfn.SORTBY({1,2,3}, -CHOOSE({1,2,3}, Tab_NewTRADER[[#This Row],[M]], Tab_NewTRADER[[#This Row],[A]], Tab_NewTRADER[[#This Row],[Agiotage]]))))</f>
        <v>MAY</v>
      </c>
      <c r="BN68" s="909" cm="1">
        <f t="array" aca="1" ref="BN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0.2418465778594395</v>
      </c>
      <c r="BO68" s="679">
        <f ca="1">Tab_NewTRADER[[#This Row],[L_Sn]]*Tab_NewTRADER[[#This Row],[L_Sp]]+Tab_NewTRADER[[#This Row],[SellMore]]*Tab_NewTRADER[[#This Row],[M]]</f>
        <v>148854.79999999999</v>
      </c>
      <c r="BP68" s="679">
        <f ca="1">INDEX(
  INDEX(TabConsolid[], , _xlfn.XMATCH(Tab_NewTRADER[[#This Row],[ClickTick]]&amp;1, TabConsolid[#Headers])),
  MATCH(
    -Tab_NewTRADER[[#This Row],[M]],
    INDEX(TabConsolid[], , _xlfn.XMATCH(Tab_NewTRADER[[#This Row],[ClickTick]]&amp;2, TabConsolid[#Headers])),
    -1
  )
)</f>
        <v>130</v>
      </c>
      <c r="BQ68" s="679" cm="1">
        <f t="array" aca="1" ref="BQ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R68" s="1156">
        <f ca="1">Tab_NewTRADER[[#This Row],[ReBuy]]/(Tab_NewTRADER[[#This Row],[L_Sn]]+Tab_NewTRADER[[#This Row],[SellMore]])</f>
        <v>808.99347826086955</v>
      </c>
      <c r="BS68" s="687">
        <f ca="1">((_xlfn.XLOOKUP(Tab_NewTRADER[[#This Row],[ClickTick]],TabCalc[Ticker],TabCalc[NAfter])+Tab_NewTRADER[[#This Row],[L_Sn]])*(Tab_NewTRADER[[#This Row],[Agiotage]]-Tab_NewTRADER[[#This Row],[M]]))/(Tab_NewTRADER[[#This Row],[L_Sn]]*_xlfn.XLOOKUP(Tab_NewTRADER[[#This Row],[ClickTick]],TabCalc[Ticker],TabCalc[NAfter]))</f>
        <v>-19.577087181810008</v>
      </c>
      <c r="BT68" s="687">
        <f ca="1">(Tab_NewTRADER[[#This Row],[M]]-Tab_NewTRADER[[#This Row],[Agiotage]])/(Tab_NewTRADER[[#This Row],[M]]-Tab_NewTRADER[[#This Row],[A]])-1</f>
        <v>3.0169527554790658</v>
      </c>
      <c r="BU68" s="1277">
        <f ca="1">_xlfn.XMATCH(Tab_NewTRADER[[#This Row],[ClickTick]]&amp;1, TabConsolid[#Headers])</f>
        <v>200</v>
      </c>
      <c r="BV68" t="b">
        <f ca="1">IF(ABS(Tab_NewTRADER[[#This Row],[L_Bp]])&gt;=Tab_NewTRADER[[#This Row],[M]],"OK")</f>
        <v>0</v>
      </c>
    </row>
    <row r="69" spans="1:74"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+6,216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13.3%</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-11,658$</v>
      </c>
      <c r="G69" s="225" t="str">
        <f ca="1">IFERROR(TRUNC(_xlfn.XLOOKUP(Tab_NewTRADER[[#This Row],[ClickTick]],TabCalc[Ticker],ListLastSalep),2)&amp;"x"&amp;_xlfn.XLOOKUP(Tab_NewTRADER[[#This Row],[ClickTick]],TabCalc[Ticker],ListLastSalen)&amp;"=   "&amp;TEXT(-_xlfn.XLOOKUP(Tab_NewTRADER[[#This Row],[ClickTick]],TabCalc[Ticker],ListReverseB),"#,#0")&amp;"$","")</f>
        <v>3.16x11000=   -10,285$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42.0% = 5,348</v>
      </c>
      <c r="I69" s="226" t="str">
        <f ca="1">IFERROR(TRUNC(TabCalc[[#This Row],[L_S1p]],2)&amp;"x"&amp;TabCalc[[#This Row],[L_S1n]]&amp;"=   "&amp;TEXT(TabCalc[[#This Row],[ReverseB1]],"#,#0"),"")</f>
        <v>4.48x5000=   11,280</v>
      </c>
      <c r="J69" s="295">
        <f ca="1">_xlfn.XLOOKUP(Tab_NewTRADER[[#This Row],[ClickTick]],TabCalc[Ticker],ListGravity)</f>
        <v>1.4606741573033708</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242858.75</v>
      </c>
      <c r="M69" s="323">
        <f ca="1">_xlfn.XLOOKUP(Tab_NewTRADER[[#This Row],[ClickTick]],TabCalc[Ticker],TabCalc[Agiotage])</f>
        <v>0.54788075577674089</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0.15344738206324524</v>
      </c>
      <c r="S69" s="683">
        <f ca="1">_xlfn.XLOOKUP(Tab_NewTRADER[[#This Row],[ClickTick]],TabCalc[Ticker],TabCalc[Rev(MinStock)])*(1-Commission)</f>
        <v>6199.8384000000005</v>
      </c>
      <c r="T69" s="782">
        <f ca="1">_xlfn.XLOOKUP(Tab_NewTRADER[[#This Row],[ClickTick]],TabCalc[Ticker],TabCalc[Agiotage])</f>
        <v>0.54788075577674089</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550/550=&gt;-1.1% / -1.1%</v>
      </c>
      <c r="V69" s="739" t="str">
        <f ca="1">_xlfn.XLOOKUP(Tab_NewTRADER[[#This Row],[ClickTick]],[1]!RTData[Ticker_Symbol],[1]!RTData[Currency])</f>
        <v>USD</v>
      </c>
      <c r="W69" s="749">
        <f ca="1">_xlfn.XLOOKUP(Tab_NewTRADER[[#This Row],[ClickTick]],TabCalc[Ticker],TabCalc[M])</f>
        <v>2.2250000000000001</v>
      </c>
      <c r="X69" s="1343"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-137/245 K$</v>
      </c>
      <c r="AE69" s="1195" t="str" cm="1">
        <f t="array" aca="1" ref="AE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9" s="1177" t="str" cm="1">
        <f t="array" aca="1" ref="AF69" ca="1">_xlfn.IFS(       Tab_NewTRADER[[#This Row],[Trap_vs_Last]]=RePurchaseGain,TEXT(Tab_NewTRADER[[#This Row],[L_Sn]],"#,#0")&amp;" x "&amp;TEXT(Tab_NewTRADER[[#This Row],[L_Sp]],"#,#0.#0"),     Tab_NewTRADER[[#This Row],[Trap_vs_Last]]=ReSaleGain,Tab_NewTRADER[[#This Row],[ToSell]],               TRUE,"")</f>
        <v>11,000 x 3.16</v>
      </c>
      <c r="AG69" s="1177" cm="1">
        <f t="array" aca="1" ref="AG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10258.259</v>
      </c>
      <c r="AH69" s="1370" t="str">
        <f ca="1">TEXT(MIN(Tab_NewTRADER[[#This Row],[L_Bn]],Tab_NewTRADER[[#This Row],[N]]),"#,#0")&amp;" x "&amp;TEXT(Tab_NewTRADER[[#This Row],[L_Bp]],"#,#0.#0")</f>
        <v>21,000 x -1.93</v>
      </c>
      <c r="AI69" s="1370">
        <f ca="1">IF(Tab_NewTRADER[[#This Row],[M]]&lt;_xlfn.XLOOKUP(Tab_NewTRADER[[#This Row],[ClickTick]],TabCalc[Ticker],TabCalc[Max_Buy_P]), 0,Tab_NewTRADER[[#This Row],[Sale_Back_$]])</f>
        <v>0</v>
      </c>
      <c r="AJ69" s="1370" t="str">
        <f ca="1">TEXT(Tab_NewTRADER[[#This Row],[L_Sn]],"#,#0")&amp;" ("&amp;Tab_NewTRADER[[#This Row],[M]]&amp;"/"&amp;TEXT(Tab_NewTRADER[[#This Row],[L_Sp]],"#,#0.#0)")</f>
        <v>11,000 (2.225/3.16)</v>
      </c>
      <c r="AK69" s="1370">
        <f ca="1">IF(Tab_NewTRADER[[#This Row],[M]]&lt;_xlfn.XLOOKUP(Tab_NewTRADER[[#This Row],[ClickTick]],TabCalc[Ticker],TabCalc[Max_Buy_P]), -Tab_NewTRADER[[#This Row],[Buy_Back]], 0)</f>
        <v>10258.259</v>
      </c>
      <c r="AL69" s="1177" t="str" cm="1">
        <f t="array" aca="1" ref="AL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9" s="1177">
        <f ca="1">Tab_NewTRADER[[#This Row],[N]]*(Tab_NewTRADER[[#This Row],[M]]-Tab_NewTRADER[[#This Row],[A]])*(1-Commission)*Tab_NewTRADER[[#This Row],[Scale]]</f>
        <v>-116098.85609999999</v>
      </c>
      <c r="AN69" s="1177">
        <f ca="1">Tab_NewTRADER[[#This Row],[M]]*Tab_NewTRADER[[#This Row],[N]]*(1-Commission)*Tab_NewTRADER[[#This Row],[Scale]]</f>
        <v>244113.65</v>
      </c>
      <c r="AO69" s="1186" cm="1">
        <f t="array" aca="1" ref="AO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0.29588607594936711</v>
      </c>
      <c r="AP69" s="1186" t="str" cm="1">
        <f t="array" aca="1" ref="AP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Tab_NewTRADER[[#This Row],[Trap_vs_Last]]=SellMorePercentGain,                     MIN(Tab_NewTRADER[[#This Row],[L_Sn]],Tab_NewTRADER[[#This Row],[N]])*(Tab_NewTRADER[[#This Row],[M]]-Tab_NewTRADER[[#This Row],[L_Sp]])*(1-Commission)*Tab_NewTRADER[[#This Row],[Scale]],                    TRUE,"")</f>
        <v/>
      </c>
      <c r="AR69" s="1175">
        <f ca="1">_xlfn.XLOOKUP(Tab_NewTRADER[[#This Row],[ClickTick]],TabCalc[Ticker],TabCalc[Ann%RevLB])</f>
        <v>0.31034301990319257</v>
      </c>
      <c r="AS69" s="1282">
        <f ca="1">_xlfn.XLOOKUP(Tab_NewTRADER[[#This Row],[ClickTick]],TabCalc[Ticker],TabCalc[Up20])</f>
        <v>0</v>
      </c>
      <c r="AT69" s="1187" t="str" cm="1">
        <f t="array" aca="1" ref="AT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9" s="825" t="str" cm="1">
        <f t="array" aca="1" ref="AU69" ca="1">_xlfn.IFS(         Tab_NewTRADER[[#This Row],[Trap_vs_Last]]=MDown,Tab_NewTRADER[[#This Row],[L_Bn]]*Tab_NewTRADER[[#This Row],[M]]*(-(Tab_NewTRADER[[#This Row],[L_Bp]]+Tab_NewTRADER[[#This Row],[M]])/Tab_NewTRADER[[#This Row],[M]])*(1-Commission)*Tab_NewTRADER[[#This Row],[Scale]],                               TRUE,"")</f>
        <v/>
      </c>
      <c r="AV69" s="1186" t="str" cm="1">
        <f t="array" aca="1" ref="AV69" ca="1">_xlfn.IFS(   Tab_NewTRADER[[#This Row],[Trap_vs_Last]]=MUp,Tab_NewTRADER[[#This Row],[TakeGain_A]]-Commission,        Tab_NewTRADER[[#This Row],[Trap_vs_Last]]=MDown,(Tab_NewTRADER[[#This Row],[A]]-Tab_NewTRADER[[#This Row],[M]])/Tab_NewTRADER[[#This Row],[M]]-Commission,                              TRUE,"")</f>
        <v/>
      </c>
      <c r="AW69" s="825" cm="1">
        <f t="array" aca="1" ref="AW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-116098.85609999999</v>
      </c>
      <c r="AX69" s="760" t="str" cm="1">
        <f t="array" aca="1" ref="AX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-1.9%</v>
      </c>
      <c r="AY69" s="736" t="str" cm="1">
        <f t="array" aca="1" ref="AY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9" s="765" cm="1">
        <f t="array" aca="1" ref="AZ69" ca="1">_xlfn.IFS(Tab_NewTRADER[[#This Row],[Trap_vs_Last]]=ReSaleGain,"",         Tab_NewTRADER[[#This Row],[Trap_vs_Last]]=MDown, (Tab_NewTRADER[[#This Row],[M]]-Tab_NewTRADER[[#This Row],[A]])/Tab_NewTRADER[[#This Row],[A]]*ComFactor,             TRUE, IFERROR((Tab_NewTRADER[[#This Row],[M]]-Tab_NewTRADER[[#This Row],[A]])/Tab_NewTRADER[[#This Row],[A]]*ComFactor,""))</f>
        <v>-0.32146856956152747</v>
      </c>
      <c r="BA69" s="762" cm="1">
        <f t="array" aca="1" ref="BA69" ca="1">_xlfn.IFS(               Tab_NewTRADER[[#This Row],[Trap_vs_Last]]=NoStock,(Tab_NewTRADER[[#This Row],[L_Sp]]-Tab_NewTRADER[[#This Row],[M]])/Tab_NewTRADER[[#This Row],[M]]-Commission,             Tab_NewTRADER[[#This Row],[A]]&lt;&gt;0,(Tab_NewTRADER[[#This Row],[A]]-Tab_NewTRADER[[#This Row],[M]])/Tab_NewTRADER[[#This Row],[M]]-Commission)</f>
        <v>0.47299346271705822</v>
      </c>
      <c r="BB69" s="324">
        <f ca="1">_xlfn.XLOOKUP(Tab_NewTRADER[[#This Row],[ClickTick]],TabCalc[Ticker],TabCalc[L_Sn])</f>
        <v>11000</v>
      </c>
      <c r="BC69" s="728">
        <f ca="1">_xlfn.XLOOKUP(Tab_NewTRADER[[#This Row],[ClickTick]],TabCalc[Ticker],TabCalc[L_Sp])</f>
        <v>3.16</v>
      </c>
      <c r="BD69" s="764">
        <f ca="1">-IFERROR((Tab_NewTRADER[[#This Row],[M]]-Tab_NewTRADER[[#This Row],[L_Sp]])/Tab_NewTRADER[[#This Row],[L_Sp]],0)</f>
        <v>0.29588607594936711</v>
      </c>
      <c r="BE69" s="729">
        <f ca="1">MIN(Tab_NewTRADER[[#This Row],[L_Sn]],Tab_NewTRADER[[#This Row],[N]])*(Tab_NewTRADER[[#This Row],[M]]-Tab_NewTRADER[[#This Row],[L_Sp]])*(1-Commission)*Tab_NewTRADER[[#This Row],[Scale]]</f>
        <v>-10258.259</v>
      </c>
      <c r="BF69" s="692">
        <f ca="1">Tab_NewTRADER[[#This Row],[L_Sn]]*(Tab_NewTRADER[[#This Row],[Agiotage]]-Tab_NewTRADER[[#This Row],[M]])/(Tab_NewTRADER[[#This Row],[L_Bn]]*Tab_NewTRADER[[#This Row],[M]])</f>
        <v>-0.39482743042174107</v>
      </c>
      <c r="BG69" s="635">
        <f ca="1">IFERROR((Tab_NewTRADER[[#This Row],[M]]-Tab_NewTRADER[[#This Row],[A]])/Tab_NewTRADER[[#This Row],[A]],0)</f>
        <v>-0.32230656663477791</v>
      </c>
      <c r="BH69" s="638" t="str">
        <f ca="1">TEXT(_xlfn.XLOOKUP(Tab_NewTRADER[[#This Row],[ClickTick]],TabCalc[Ticker],TabCalc[NAfter]),"#,#0")&amp;" : "&amp;TEXT(_xlfn.XLOOKUP(Tab_NewTRADER[[#This Row],[ClickTick]],TabCalc[Ticker],TabCalc[NAfter])*(Tab_NewTRADER[[#This Row],[M]]-Tab_NewTRADER[[#This Row],[A]])*(1-Commission)*Tab_NewTRADER[[#This Row],[Scale]],"#,#0$")</f>
        <v>110,000 : -116,099$</v>
      </c>
      <c r="BI69" s="684">
        <f ca="1">_xlfn.XLOOKUP(Tab_NewTRADER[[#This Row],[ClickTick]],TabCalc[[#This Row],[Ticker]],TabCalc[[#This Row],[GL]])*(1-Commission)</f>
        <v>-136970.86740799999</v>
      </c>
      <c r="BJ69" s="684"/>
      <c r="BK69" s="669" t="str">
        <f ca="1">Tab_NewTRADER[[#This Row],[ClickTick]]&amp;": "&amp;_xlfn.XLOOKUP(Tab_NewTRADER[[#This Row],[ClickTick]],TabCalc[Ticker],TabCalc[Pile?])</f>
        <v>SAFDDD: Pile</v>
      </c>
      <c r="BL69" s="351" t="s">
        <v>1992</v>
      </c>
      <c r="BM69" s="755" t="str" cm="1">
        <f t="array" aca="1" ref="BM69" ca="1">_xlfn.TEXTJOIN("",,INDEX({"M","A","Y"}, _xlfn.SORTBY({1,2,3}, -CHOOSE({1,2,3}, Tab_NewTRADER[[#This Row],[M]], Tab_NewTRADER[[#This Row],[A]], Tab_NewTRADER[[#This Row],[Agiotage]]))))</f>
        <v>AMY</v>
      </c>
      <c r="BN69" s="909" t="str" cm="1">
        <f t="array" aca="1" ref="BN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9" s="679" t="e">
        <f ca="1">Tab_NewTRADER[[#This Row],[L_Sn]]*Tab_NewTRADER[[#This Row],[L_Sp]]+Tab_NewTRADER[[#This Row],[SellMore]]*Tab_NewTRADER[[#This Row],[M]]</f>
        <v>#N/A</v>
      </c>
      <c r="BP69" s="679" t="e">
        <f ca="1">INDEX(
  INDEX(TabConsolid[], , _xlfn.XMATCH(Tab_NewTRADER[[#This Row],[ClickTick]]&amp;1, TabConsolid[#Headers])),
  MATCH(
    -Tab_NewTRADER[[#This Row],[M]],
    INDEX(TabConsolid[], , _xlfn.XMATCH(Tab_NewTRADER[[#This Row],[ClickTick]]&amp;2, TabConsolid[#Headers])),
    -1
  )
)</f>
        <v>#N/A</v>
      </c>
      <c r="BQ69" s="679" cm="1">
        <f t="array" aca="1" ref="BQ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R69" s="1156" t="e">
        <f ca="1">Tab_NewTRADER[[#This Row],[ReBuy]]/(Tab_NewTRADER[[#This Row],[L_Sn]]+Tab_NewTRADER[[#This Row],[SellMore]])</f>
        <v>#N/A</v>
      </c>
      <c r="BS69" s="687">
        <f ca="1">((_xlfn.XLOOKUP(Tab_NewTRADER[[#This Row],[ClickTick]],TabCalc[Ticker],TabCalc[NAfter])+Tab_NewTRADER[[#This Row],[L_Sn]])*(Tab_NewTRADER[[#This Row],[Agiotage]]-Tab_NewTRADER[[#This Row],[M]]))/(Tab_NewTRADER[[#This Row],[L_Sn]]*_xlfn.XLOOKUP(Tab_NewTRADER[[#This Row],[ClickTick]],TabCalc[Ticker],TabCalc[NAfter]))</f>
        <v>-1.6771192442232593E-4</v>
      </c>
      <c r="BT69" s="687">
        <f ca="1">(Tab_NewTRADER[[#This Row],[M]]-Tab_NewTRADER[[#This Row],[Agiotage]])/(Tab_NewTRADER[[#This Row],[M]]-Tab_NewTRADER[[#This Row],[A]])-1</f>
        <v>-2.5848860784831684</v>
      </c>
      <c r="BU69" s="1277">
        <f ca="1">_xlfn.XMATCH(Tab_NewTRADER[[#This Row],[ClickTick]]&amp;1, TabConsolid[#Headers])</f>
        <v>203</v>
      </c>
      <c r="BV69" t="b">
        <f ca="1">IF(ABS(Tab_NewTRADER[[#This Row],[L_Bp]])&gt;=Tab_NewTRADER[[#This Row],[M]],"OK")</f>
        <v>0</v>
      </c>
    </row>
    <row r="70" spans="1:74"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-1,193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408</v>
      </c>
      <c r="F70" s="226" t="str">
        <f ca="1">TRUNC(TabCalc[[#This Row],[L_B1p]],2)&amp;"x"&amp;TabCalc[[#This Row],[L_B1n]]&amp;"=   "&amp;TEXT(TabCalc[[#This Row],[ReverseS1]],"#,#0")&amp;"$"</f>
        <v>-108.61x700=   1,484$</v>
      </c>
      <c r="G70" s="225" t="str">
        <f ca="1">IFERROR(TRUNC(_xlfn.XLOOKUP(Tab_NewTRADER[[#This Row],[ClickTick]],TabCalc[Ticker],ListLastSalep),2)&amp;"x"&amp;_xlfn.XLOOKUP(Tab_NewTRADER[[#This Row],[ClickTick]],TabCalc[Ticker],ListLastSalen)&amp;"=   "&amp;TEXT(-_xlfn.XLOOKUP(Tab_NewTRADER[[#This Row],[ClickTick]],TabCalc[Ticker],ListReverseB),"#,#0")&amp;"$","")</f>
        <v>122.97x330=   -4,039$</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408</v>
      </c>
      <c r="I70" s="226" t="str">
        <f ca="1">IFERROR(TRUNC(TabCalc[[#This Row],[L_S1p]],2)&amp;"x"&amp;TabCalc[[#This Row],[L_S1n]]&amp;"=   "&amp;TEXT(TabCalc[[#This Row],[ReverseB1]],"#,#0"),"")</f>
        <v>119.32x800=   6,872</v>
      </c>
      <c r="J70" s="295">
        <f ca="1">_xlfn.XLOOKUP(Tab_NewTRADER[[#This Row],[ClickTick]],TabCalc[Ticker],ListGravity)</f>
        <v>1.2108046599837441</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0.86820077434090825</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-1.9915029208709505E-2</v>
      </c>
      <c r="S70" s="683">
        <f ca="1">_xlfn.XLOOKUP(Tab_NewTRADER[[#This Row],[ClickTick]],TabCalc[Ticker],TabCalc[Rev(MinStock)])*(1-Commission)</f>
        <v>-1189.3995</v>
      </c>
      <c r="T70" s="782">
        <f ca="1">_xlfn.XLOOKUP(Tab_NewTRADER[[#This Row],[ClickTick]],TabCalc[Ticker],TabCalc[Agiotage])</f>
        <v>0.86820077434090825</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456/456=&gt;0.2% / 0.2%</v>
      </c>
      <c r="V70" s="739" t="str">
        <f ca="1">_xlfn.XLOOKUP(Tab_NewTRADER[[#This Row],[ClickTick]],[1]!RTData[Ticker_Symbol],[1]!RTData[Currency])</f>
        <v>USD</v>
      </c>
      <c r="W70" s="749">
        <f ca="1">_xlfn.XLOOKUP(Tab_NewTRADER[[#This Row],[ClickTick]],TabCalc[Ticker],TabCalc[M])</f>
        <v>110.73</v>
      </c>
      <c r="X70" s="1343"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133 K$</v>
      </c>
      <c r="AE70" s="1195" t="str" cm="1">
        <f t="array" aca="1" ref="AE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0" s="1177" t="str" cm="1">
        <f t="array" aca="1" ref="AF70" ca="1">_xlfn.IFS(       Tab_NewTRADER[[#This Row],[Trap_vs_Last]]=RePurchaseGain,TEXT(Tab_NewTRADER[[#This Row],[L_Sn]],"#,#0")&amp;" x "&amp;TEXT(Tab_NewTRADER[[#This Row],[L_Sp]],"#,#0.#0"),     Tab_NewTRADER[[#This Row],[Trap_vs_Last]]=ReSaleGain,Tab_NewTRADER[[#This Row],[ToSell]],               TRUE,"")</f>
        <v/>
      </c>
      <c r="AG70" s="1177" t="str" cm="1">
        <f t="array" aca="1" ref="AG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H70" s="1370" t="str">
        <f ca="1">TEXT(MIN(Tab_NewTRADER[[#This Row],[L_Bn]],Tab_NewTRADER[[#This Row],[N]]),"#,#0")&amp;" x "&amp;TEXT(Tab_NewTRADER[[#This Row],[L_Bp]],"#,#0.#0")</f>
        <v>530 x -112.98</v>
      </c>
      <c r="AI70" s="1370">
        <f ca="1">IF(Tab_NewTRADER[[#This Row],[M]]&lt;_xlfn.XLOOKUP(Tab_NewTRADER[[#This Row],[ClickTick]],TabCalc[Ticker],TabCalc[Max_Buy_P]), 0,Tab_NewTRADER[[#This Row],[Sale_Back_$]])</f>
        <v>0</v>
      </c>
      <c r="AJ70" s="1370" t="str">
        <f ca="1">TEXT(Tab_NewTRADER[[#This Row],[L_Sn]],"#,#0")&amp;" ("&amp;Tab_NewTRADER[[#This Row],[M]]&amp;"/"&amp;TEXT(Tab_NewTRADER[[#This Row],[L_Sp]],"#,#0.#0)")</f>
        <v>330 (110.73/122.97)</v>
      </c>
      <c r="AK70" s="1370">
        <f ca="1">IF(Tab_NewTRADER[[#This Row],[M]]&lt;_xlfn.XLOOKUP(Tab_NewTRADER[[#This Row],[ClickTick]],TabCalc[Ticker],TabCalc[Max_Buy_P]), -Tab_NewTRADER[[#This Row],[Buy_Back]], 0)</f>
        <v>4028.6980799999983</v>
      </c>
      <c r="AL70" s="1177" cm="1">
        <f t="array" aca="1" ref="AL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1189.3995</v>
      </c>
      <c r="AM70" s="1177">
        <f ca="1">Tab_NewTRADER[[#This Row],[N]]*(Tab_NewTRADER[[#This Row],[M]]-Tab_NewTRADER[[#This Row],[A]])*(1-Commission)*Tab_NewTRADER[[#This Row],[Scale]]</f>
        <v>227.30745999999397</v>
      </c>
      <c r="AN70" s="1177">
        <f ca="1">Tab_NewTRADER[[#This Row],[M]]*Tab_NewTRADER[[#This Row],[N]]*(1-Commission)*Tab_NewTRADER[[#This Row],[Scale]]</f>
        <v>132530.52239999999</v>
      </c>
      <c r="AO70" s="1186" cm="1">
        <f t="array" aca="1" ref="AO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-1.7180796407939047E-3</v>
      </c>
      <c r="AP70" s="1186" cm="1">
        <f t="array" aca="1" ref="AP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1.7719696559198049E-2</v>
      </c>
      <c r="AQ70" s="825" t="str" cm="1">
        <f t="array" aca="1" ref="AQ70" ca="1">_xlfn.IFS(   Tab_NewTRADER[[#This Row],[Trap_vs_Last]]=SellMorePercentGain,                     MIN(Tab_NewTRADER[[#This Row],[L_Sn]],Tab_NewTRADER[[#This Row],[N]])*(Tab_NewTRADER[[#This Row],[M]]-Tab_NewTRADER[[#This Row],[L_Sp]])*(1-Commission)*Tab_NewTRADER[[#This Row],[Scale]],                    TRUE,"")</f>
        <v/>
      </c>
      <c r="AR70" s="1192">
        <f ca="1">_xlfn.XLOOKUP(Tab_NewTRADER[[#This Row],[ClickTick]],TabCalc[Ticker],TabCalc[Ann%RevLB])</f>
        <v>-0.22404407859798192</v>
      </c>
      <c r="AS70" s="1281">
        <f ca="1">_xlfn.XLOOKUP(Tab_NewTRADER[[#This Row],[ClickTick]],TabCalc[Ticker],TabCalc[Up20])</f>
        <v>0</v>
      </c>
      <c r="AT70" s="1187" cm="1">
        <f t="array" aca="1" ref="AT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2.0319696559198047E-2</v>
      </c>
      <c r="AU70" s="825" cm="1">
        <f t="array" aca="1" ref="AU70" ca="1">_xlfn.IFS(         Tab_NewTRADER[[#This Row],[Trap_vs_Last]]=MDown,Tab_NewTRADER[[#This Row],[L_Bn]]*Tab_NewTRADER[[#This Row],[M]]*(-(Tab_NewTRADER[[#This Row],[L_Bp]]+Tab_NewTRADER[[#This Row],[M]])/Tab_NewTRADER[[#This Row],[M]])*(1-Commission)*Tab_NewTRADER[[#This Row],[Scale]],                               TRUE,"")</f>
        <v>1189.3995</v>
      </c>
      <c r="AV70" s="1186" cm="1">
        <f t="array" aca="1" ref="AV70" ca="1">_xlfn.IFS(   Tab_NewTRADER[[#This Row],[Trap_vs_Last]]=MUp,Tab_NewTRADER[[#This Row],[TakeGain_A]]-Commission,        Tab_NewTRADER[[#This Row],[Trap_vs_Last]]=MDown,(Tab_NewTRADER[[#This Row],[A]]-Tab_NewTRADER[[#This Row],[M]])/Tab_NewTRADER[[#This Row],[M]]-Commission,                              TRUE,"")</f>
        <v>-4.3151329058670786E-3</v>
      </c>
      <c r="AW70" s="760" cm="1">
        <f t="array" aca="1" ref="AW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-227.30745999999397</v>
      </c>
      <c r="AX70" s="760" t="str" cm="1">
        <f t="array" aca="1" ref="AX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Y70" s="736" cm="1">
        <f t="array" aca="1" ref="AY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-2.25</v>
      </c>
      <c r="AZ70" s="765" cm="1">
        <f t="array" aca="1" ref="AZ70" ca="1">_xlfn.IFS(Tab_NewTRADER[[#This Row],[Trap_vs_Last]]=ReSaleGain,"",         Tab_NewTRADER[[#This Row],[Trap_vs_Last]]=MDown, (Tab_NewTRADER[[#This Row],[M]]-Tab_NewTRADER[[#This Row],[A]])/Tab_NewTRADER[[#This Row],[A]]*ComFactor,             TRUE, IFERROR((Tab_NewTRADER[[#This Row],[M]]-Tab_NewTRADER[[#This Row],[A]])/Tab_NewTRADER[[#This Row],[A]]*ComFactor,""))</f>
        <v>1.7136126337278404E-3</v>
      </c>
      <c r="BA70" s="762" cm="1">
        <f t="array" aca="1" ref="BA70" ca="1">_xlfn.IFS(               Tab_NewTRADER[[#This Row],[Trap_vs_Last]]=NoStock,(Tab_NewTRADER[[#This Row],[L_Sp]]-Tab_NewTRADER[[#This Row],[M]])/Tab_NewTRADER[[#This Row],[M]]-Commission,             Tab_NewTRADER[[#This Row],[A]]&lt;&gt;0,(Tab_NewTRADER[[#This Row],[A]]-Tab_NewTRADER[[#This Row],[M]])/Tab_NewTRADER[[#This Row],[M]]-Commission)</f>
        <v>-4.3151329058670786E-3</v>
      </c>
      <c r="BB70" s="324">
        <f ca="1">_xlfn.XLOOKUP(Tab_NewTRADER[[#This Row],[ClickTick]],TabCalc[Ticker],TabCalc[L_Sn])</f>
        <v>330</v>
      </c>
      <c r="BC70" s="728">
        <f ca="1">_xlfn.XLOOKUP(Tab_NewTRADER[[#This Row],[ClickTick]],TabCalc[Ticker],TabCalc[L_Sp])</f>
        <v>122.97</v>
      </c>
      <c r="BD70" s="764">
        <f ca="1">-IFERROR((Tab_NewTRADER[[#This Row],[M]]-Tab_NewTRADER[[#This Row],[L_Sp]])/Tab_NewTRADER[[#This Row],[L_Sp]],0)</f>
        <v>9.9536472310319549E-2</v>
      </c>
      <c r="BE70" s="729">
        <f ca="1">MIN(Tab_NewTRADER[[#This Row],[L_Sn]],Tab_NewTRADER[[#This Row],[N]])*(Tab_NewTRADER[[#This Row],[M]]-Tab_NewTRADER[[#This Row],[L_Sp]])*(1-Commission)*Tab_NewTRADER[[#This Row],[Scale]]</f>
        <v>-4028.6980799999983</v>
      </c>
      <c r="BF70" s="692">
        <f ca="1">Tab_NewTRADER[[#This Row],[L_Sn]]*(Tab_NewTRADER[[#This Row],[Agiotage]]-Tab_NewTRADER[[#This Row],[M]])/(Tab_NewTRADER[[#This Row],[L_Bn]]*Tab_NewTRADER[[#This Row],[M]])</f>
        <v>-0.6177595637947737</v>
      </c>
      <c r="BG70" s="635">
        <f ca="1">IFERROR((Tab_NewTRADER[[#This Row],[M]]-Tab_NewTRADER[[#This Row],[A]])/Tab_NewTRADER[[#This Row],[A]],0)</f>
        <v>1.7180796407939047E-3</v>
      </c>
      <c r="BH70" s="638" t="str">
        <f ca="1">TEXT(_xlfn.XLOOKUP(Tab_NewTRADER[[#This Row],[ClickTick]],TabCalc[Ticker],TabCalc[NAfter]),"#,#0")&amp;" : "&amp;TEXT(_xlfn.XLOOKUP(Tab_NewTRADER[[#This Row],[ClickTick]],TabCalc[Ticker],TabCalc[NAfter])*(Tab_NewTRADER[[#This Row],[M]]-Tab_NewTRADER[[#This Row],[A]])*(1-Commission)*Tab_NewTRADER[[#This Row],[Scale]],"#,#0$")</f>
        <v>1,200 : 227$</v>
      </c>
      <c r="BI70" s="684">
        <f ca="1">_xlfn.XLOOKUP(Tab_NewTRADER[[#This Row],[ClickTick]],TabCalc[[#This Row],[Ticker]],TabCalc[[#This Row],[GL]])*(1-Commission)</f>
        <v>36012.244087999978</v>
      </c>
      <c r="BJ70" s="684"/>
      <c r="BK70" s="669" t="str">
        <f ca="1">Tab_NewTRADER[[#This Row],[ClickTick]]&amp;": "&amp;_xlfn.XLOOKUP(Tab_NewTRADER[[#This Row],[ClickTick]],TabCalc[Ticker],TabCalc[Pile?])</f>
        <v xml:space="preserve">SAFDIS: </v>
      </c>
      <c r="BL70" s="351" t="s">
        <v>1993</v>
      </c>
      <c r="BM70" s="755" t="str" cm="1">
        <f t="array" aca="1" ref="BM70" ca="1">_xlfn.TEXTJOIN("",,INDEX({"M","A","Y"}, _xlfn.SORTBY({1,2,3}, -CHOOSE({1,2,3}, Tab_NewTRADER[[#This Row],[M]], Tab_NewTRADER[[#This Row],[A]], Tab_NewTRADER[[#This Row],[Agiotage]]))))</f>
        <v>MAY</v>
      </c>
      <c r="BN70" s="909" cm="1">
        <f t="array" aca="1" ref="BN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2.0319696559198047E-2</v>
      </c>
      <c r="BO70" s="679">
        <f ca="1">Tab_NewTRADER[[#This Row],[L_Sn]]*Tab_NewTRADER[[#This Row],[L_Sp]]+Tab_NewTRADER[[#This Row],[SellMore]]*Tab_NewTRADER[[#This Row],[M]]</f>
        <v>114769.20000000001</v>
      </c>
      <c r="BP70" s="679">
        <f ca="1">INDEX(
  INDEX(TabConsolid[], , _xlfn.XMATCH(Tab_NewTRADER[[#This Row],[ClickTick]]&amp;1, TabConsolid[#Headers])),
  MATCH(
    -Tab_NewTRADER[[#This Row],[M]],
    INDEX(TabConsolid[], , _xlfn.XMATCH(Tab_NewTRADER[[#This Row],[ClickTick]]&amp;2, TabConsolid[#Headers])),
    -1
  )
)</f>
        <v>670</v>
      </c>
      <c r="BQ70" s="679" cm="1">
        <f t="array" aca="1" ref="BQ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0" s="1156">
        <f ca="1">Tab_NewTRADER[[#This Row],[ReBuy]]/(Tab_NewTRADER[[#This Row],[L_Sn]]+Tab_NewTRADER[[#This Row],[SellMore]])</f>
        <v>114.76920000000001</v>
      </c>
      <c r="BS70" s="687">
        <f ca="1">((_xlfn.XLOOKUP(Tab_NewTRADER[[#This Row],[ClickTick]],TabCalc[Ticker],TabCalc[NAfter])+Tab_NewTRADER[[#This Row],[L_Sn]])*(Tab_NewTRADER[[#This Row],[Agiotage]]-Tab_NewTRADER[[#This Row],[M]]))/(Tab_NewTRADER[[#This Row],[L_Sn]]*_xlfn.XLOOKUP(Tab_NewTRADER[[#This Row],[ClickTick]],TabCalc[Ticker],TabCalc[NAfter]))</f>
        <v>-0.42446604246277375</v>
      </c>
      <c r="BT70" s="687">
        <f ca="1">(Tab_NewTRADER[[#This Row],[M]]-Tab_NewTRADER[[#This Row],[Agiotage]])/(Tab_NewTRADER[[#This Row],[M]]-Tab_NewTRADER[[#This Row],[A]])-1</f>
        <v>577.47371246509181</v>
      </c>
      <c r="BU70" s="1277">
        <f ca="1">_xlfn.XMATCH(Tab_NewTRADER[[#This Row],[ClickTick]]&amp;1, TabConsolid[#Headers])</f>
        <v>206</v>
      </c>
      <c r="BV70" t="str">
        <f ca="1">IF(ABS(Tab_NewTRADER[[#This Row],[L_Bp]])&gt;=Tab_NewTRADER[[#This Row],[M]],"OK")</f>
        <v>OK</v>
      </c>
    </row>
    <row r="71" spans="1:74"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36.9%</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44,053$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-31.2% = 0</v>
      </c>
      <c r="I71" s="226" t="str">
        <f ca="1">IFERROR(TRUNC(TabCalc[[#This Row],[L_S1p]],2)&amp;"x"&amp;TabCalc[[#This Row],[L_S1n]]&amp;"=   "&amp;TEXT(TabCalc[[#This Row],[ReverseB1]],"#,#0"),"")</f>
        <v>48.66x4000=   -87,999</v>
      </c>
      <c r="J71" s="295">
        <f ca="1">_xlfn.XLOOKUP(Tab_NewTRADER[[#This Row],[ClickTick]],TabCalc[Ticker],ListGravity)</f>
        <v>1.0352936597792246</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0.5369764209337996</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0.58359480053787538</v>
      </c>
      <c r="S71" s="683">
        <f ca="1">_xlfn.XLOOKUP(Tab_NewTRADER[[#This Row],[ClickTick]],TabCalc[Ticker],TabCalc[Rev(MinStock)])*(1-Commission)</f>
        <v>0</v>
      </c>
      <c r="T71" s="782">
        <f ca="1">_xlfn.XLOOKUP(Tab_NewTRADER[[#This Row],[ClickTick]],TabCalc[Ticker],TabCalc[Agiotage])</f>
        <v>0.5369764209337996</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2.6%</v>
      </c>
      <c r="V71" s="739" t="str">
        <f ca="1">_xlfn.XLOOKUP(Tab_NewTRADER[[#This Row],[ClickTick]],[1]!RTData[Ticker_Symbol],[1]!RTData[Currency])</f>
        <v>USD</v>
      </c>
      <c r="W71" s="749">
        <f ca="1">_xlfn.XLOOKUP(Tab_NewTRADER[[#This Row],[ClickTick]],TabCalc[Ticker],TabCalc[M])</f>
        <v>70.66</v>
      </c>
      <c r="X71" s="1343"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E71" s="1195" t="str" cm="1">
        <f t="array" aca="1" ref="AE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1" s="1177" t="str" cm="1">
        <f t="array" aca="1" ref="AF71" ca="1">_xlfn.IFS(       Tab_NewTRADER[[#This Row],[Trap_vs_Last]]=RePurchaseGain,TEXT(Tab_NewTRADER[[#This Row],[L_Sn]],"#,#0")&amp;" x "&amp;TEXT(Tab_NewTRADER[[#This Row],[L_Sp]],"#,#0.#0"),     Tab_NewTRADER[[#This Row],[Trap_vs_Last]]=ReSaleGain,Tab_NewTRADER[[#This Row],[ToSell]],               TRUE,"")</f>
        <v/>
      </c>
      <c r="AG71" s="1177" t="str" cm="1">
        <f t="array" aca="1" ref="AG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1" s="1370" t="str">
        <f ca="1">TEXT(MIN(Tab_NewTRADER[[#This Row],[L_Bn]],Tab_NewTRADER[[#This Row],[N]]),"#,#0")&amp;" x "&amp;TEXT(Tab_NewTRADER[[#This Row],[L_Bp]],"#,#0.#0")</f>
        <v>0 x -44.62</v>
      </c>
      <c r="AI71" s="1370">
        <f ca="1">IF(Tab_NewTRADER[[#This Row],[M]]&lt;_xlfn.XLOOKUP(Tab_NewTRADER[[#This Row],[ClickTick]],TabCalc[Ticker],TabCalc[Max_Buy_P]), 0,Tab_NewTRADER[[#This Row],[Sale_Back_$]])</f>
        <v>0</v>
      </c>
      <c r="AJ71" s="1370" t="str">
        <f ca="1">TEXT(Tab_NewTRADER[[#This Row],[L_Sn]],"#,#0")&amp;" ("&amp;Tab_NewTRADER[[#This Row],[M]]&amp;"/"&amp;TEXT(Tab_NewTRADER[[#This Row],[L_Sp]],"#,#0.#0)")</f>
        <v>2,000 (70.66/48.63)</v>
      </c>
      <c r="AK71" s="1370">
        <f ca="1">IF(Tab_NewTRADER[[#This Row],[M]]&lt;_xlfn.XLOOKUP(Tab_NewTRADER[[#This Row],[ClickTick]],TabCalc[Ticker],TabCalc[Max_Buy_P]), -Tab_NewTRADER[[#This Row],[Buy_Back]], 0)</f>
        <v>0</v>
      </c>
      <c r="AL71" s="1177" t="str" cm="1">
        <f t="array" aca="1" ref="AL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1" s="1177">
        <f ca="1">Tab_NewTRADER[[#This Row],[N]]*(Tab_NewTRADER[[#This Row],[M]]-Tab_NewTRADER[[#This Row],[A]])*(1-Commission)*Tab_NewTRADER[[#This Row],[Scale]]</f>
        <v>0</v>
      </c>
      <c r="AN71" s="1177">
        <f ca="1">Tab_NewTRADER[[#This Row],[M]]*Tab_NewTRADER[[#This Row],[N]]*(1-Commission)*Tab_NewTRADER[[#This Row],[Scale]]</f>
        <v>0</v>
      </c>
      <c r="AO71" s="1186" t="str" cm="1">
        <f t="array" aca="1" ref="AO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1" s="1186" t="str" cm="1">
        <f t="array" aca="1" ref="AP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Tab_NewTRADER[[#This Row],[Trap_vs_Last]]=SellMorePercentGain,                     MIN(Tab_NewTRADER[[#This Row],[L_Sn]],Tab_NewTRADER[[#This Row],[N]])*(Tab_NewTRADER[[#This Row],[M]]-Tab_NewTRADER[[#This Row],[L_Sp]])*(1-Commission)*Tab_NewTRADER[[#This Row],[Scale]],                    TRUE,"")</f>
        <v/>
      </c>
      <c r="AR71" s="1281">
        <f ca="1">_xlfn.XLOOKUP(Tab_NewTRADER[[#This Row],[ClickTick]],TabCalc[Ticker],TabCalc[Ann%RevLB])</f>
        <v>0.45181532944867769</v>
      </c>
      <c r="AS71" s="1281">
        <f ca="1">_xlfn.XLOOKUP(Tab_NewTRADER[[#This Row],[ClickTick]],TabCalc[Ticker],TabCalc[Up20])</f>
        <v>0.55555555555555558</v>
      </c>
      <c r="AT71" s="1187" t="str" cm="1">
        <f t="array" aca="1" ref="AT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1" s="825" t="str" cm="1">
        <f t="array" aca="1" ref="AU71" ca="1">_xlfn.IFS(         Tab_NewTRADER[[#This Row],[Trap_vs_Last]]=MDown,Tab_NewTRADER[[#This Row],[L_Bn]]*Tab_NewTRADER[[#This Row],[M]]*(-(Tab_NewTRADER[[#This Row],[L_Bp]]+Tab_NewTRADER[[#This Row],[M]])/Tab_NewTRADER[[#This Row],[M]])*(1-Commission)*Tab_NewTRADER[[#This Row],[Scale]],                               TRUE,"")</f>
        <v/>
      </c>
      <c r="AV71" s="1186" t="str" cm="1">
        <f t="array" aca="1" ref="AV71" ca="1">_xlfn.IFS(   Tab_NewTRADER[[#This Row],[Trap_vs_Last]]=MUp,Tab_NewTRADER[[#This Row],[TakeGain_A]]-Commission,        Tab_NewTRADER[[#This Row],[Trap_vs_Last]]=MDown,(Tab_NewTRADER[[#This Row],[A]]-Tab_NewTRADER[[#This Row],[M]])/Tab_NewTRADER[[#This Row],[M]]-Commission,                              TRUE,"")</f>
        <v/>
      </c>
      <c r="AW71" s="825" cm="1">
        <f t="array" aca="1" ref="AW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1" s="760" t="str" cm="1">
        <f t="array" aca="1" ref="AX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-0.7%</v>
      </c>
      <c r="AY71" s="736" t="str" cm="1">
        <f t="array" aca="1" ref="AY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0x70.66</v>
      </c>
      <c r="AZ71" s="765" t="str" cm="1">
        <f t="array" aca="1" ref="AZ71" ca="1">_xlfn.IFS(Tab_NewTRADER[[#This Row],[Trap_vs_Last]]=ReSaleGain,"",         Tab_NewTRADER[[#This Row],[Trap_vs_Last]]=MDown, (Tab_NewTRADER[[#This Row],[M]]-Tab_NewTRADER[[#This Row],[A]])/Tab_NewTRADER[[#This Row],[A]]*ComFactor,             TRUE, IFERROR((Tab_NewTRADER[[#This Row],[M]]-Tab_NewTRADER[[#This Row],[A]])/Tab_NewTRADER[[#This Row],[A]]*ComFactor,""))</f>
        <v/>
      </c>
      <c r="BA71" s="762" cm="1">
        <f t="array" aca="1" ref="BA71" ca="1">_xlfn.IFS(               Tab_NewTRADER[[#This Row],[Trap_vs_Last]]=NoStock,(Tab_NewTRADER[[#This Row],[L_Sp]]-Tab_NewTRADER[[#This Row],[M]])/Tab_NewTRADER[[#This Row],[M]]-Commission,             Tab_NewTRADER[[#This Row],[A]]&lt;&gt;0,(Tab_NewTRADER[[#This Row],[A]]-Tab_NewTRADER[[#This Row],[M]])/Tab_NewTRADER[[#This Row],[M]]-Commission)</f>
        <v>-0.31432657797905456</v>
      </c>
      <c r="BB71" s="324">
        <f ca="1">_xlfn.XLOOKUP(Tab_NewTRADER[[#This Row],[ClickTick]],TabCalc[Ticker],TabCalc[L_Sn])</f>
        <v>2000</v>
      </c>
      <c r="BC71" s="728">
        <f ca="1">_xlfn.XLOOKUP(Tab_NewTRADER[[#This Row],[ClickTick]],TabCalc[Ticker],TabCalc[L_Sp])</f>
        <v>48.633400000000002</v>
      </c>
      <c r="BD71" s="764">
        <f ca="1">-IFERROR((Tab_NewTRADER[[#This Row],[M]]-Tab_NewTRADER[[#This Row],[L_Sp]])/Tab_NewTRADER[[#This Row],[L_Sp]],0)</f>
        <v>-0.45291096242500001</v>
      </c>
      <c r="BE71" s="729">
        <f ca="1">MIN(Tab_NewTRADER[[#This Row],[L_Sn]],Tab_NewTRADER[[#This Row],[N]])*(Tab_NewTRADER[[#This Row],[M]]-Tab_NewTRADER[[#This Row],[L_Sp]])*(1-Commission)*Tab_NewTRADER[[#This Row],[Scale]]</f>
        <v>0</v>
      </c>
      <c r="BF71" s="692">
        <f ca="1">Tab_NewTRADER[[#This Row],[L_Sn]]*(Tab_NewTRADER[[#This Row],[Agiotage]]-Tab_NewTRADER[[#This Row],[M]])/(Tab_NewTRADER[[#This Row],[L_Bn]]*Tab_NewTRADER[[#This Row],[M]])</f>
        <v>-0.99240056013396827</v>
      </c>
      <c r="BG71" s="635">
        <f ca="1">IFERROR((Tab_NewTRADER[[#This Row],[M]]-Tab_NewTRADER[[#This Row],[A]])/Tab_NewTRADER[[#This Row],[A]],0)</f>
        <v>0</v>
      </c>
      <c r="BH71" s="638" t="str">
        <f ca="1">TEXT(_xlfn.XLOOKUP(Tab_NewTRADER[[#This Row],[ClickTick]],TabCalc[Ticker],TabCalc[NAfter]),"#,#0")&amp;" : "&amp;TEXT(_xlfn.XLOOKUP(Tab_NewTRADER[[#This Row],[ClickTick]],TabCalc[Ticker],TabCalc[NAfter])*(Tab_NewTRADER[[#This Row],[M]]-Tab_NewTRADER[[#This Row],[A]])*(1-Commission)*Tab_NewTRADER[[#This Row],[Scale]],"#,#0$")</f>
        <v>0 : 0$</v>
      </c>
      <c r="BI71" s="684">
        <f ca="1">_xlfn.XLOOKUP(Tab_NewTRADER[[#This Row],[ClickTick]],TabCalc[[#This Row],[Ticker]],TabCalc[[#This Row],[GL]])*(1-Commission)</f>
        <v>62179.995579000002</v>
      </c>
      <c r="BJ71" s="684"/>
      <c r="BK71" s="669" t="str">
        <f ca="1">Tab_NewTRADER[[#This Row],[ClickTick]]&amp;": "&amp;_xlfn.XLOOKUP(Tab_NewTRADER[[#This Row],[ClickTick]],TabCalc[Ticker],TabCalc[Pile?])</f>
        <v>SAFGM: Pile</v>
      </c>
      <c r="BL71" s="351" t="s">
        <v>1994</v>
      </c>
      <c r="BM71" s="755" t="str" cm="1">
        <f t="array" aca="1" ref="BM71" ca="1">_xlfn.TEXTJOIN("",,INDEX({"M","A","Y"}, _xlfn.SORTBY({1,2,3}, -CHOOSE({1,2,3}, Tab_NewTRADER[[#This Row],[M]], Tab_NewTRADER[[#This Row],[A]], Tab_NewTRADER[[#This Row],[Agiotage]]))))</f>
        <v>MYA</v>
      </c>
      <c r="BN71" s="909" t="str" cm="1">
        <f t="array" aca="1" ref="BN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1" s="679" t="e">
        <f ca="1">Tab_NewTRADER[[#This Row],[L_Sn]]*Tab_NewTRADER[[#This Row],[L_Sp]]+Tab_NewTRADER[[#This Row],[SellMore]]*Tab_NewTRADER[[#This Row],[M]]</f>
        <v>#N/A</v>
      </c>
      <c r="BP71" s="679" t="e">
        <f ca="1">INDEX(
  INDEX(TabConsolid[], , _xlfn.XMATCH(Tab_NewTRADER[[#This Row],[ClickTick]]&amp;1, TabConsolid[#Headers])),
  MATCH(
    -Tab_NewTRADER[[#This Row],[M]],
    INDEX(TabConsolid[], , _xlfn.XMATCH(Tab_NewTRADER[[#This Row],[ClickTick]]&amp;2, TabConsolid[#Headers])),
    -1
  )
)</f>
        <v>#N/A</v>
      </c>
      <c r="BQ71" s="679" cm="1">
        <f t="array" aca="1" ref="BQ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1" s="1156" t="e">
        <f ca="1">Tab_NewTRADER[[#This Row],[ReBuy]]/(Tab_NewTRADER[[#This Row],[L_Sn]]+Tab_NewTRADER[[#This Row],[SellMore]])</f>
        <v>#N/A</v>
      </c>
      <c r="BS71" s="687" t="e">
        <f ca="1">((_xlfn.XLOOKUP(Tab_NewTRADER[[#This Row],[ClickTick]],TabCalc[Ticker],TabCalc[NAfter])+Tab_NewTRADER[[#This Row],[L_Sn]])*(Tab_NewTRADER[[#This Row],[Agiotage]]-Tab_NewTRADER[[#This Row],[M]]))/(Tab_NewTRADER[[#This Row],[L_Sn]]*_xlfn.XLOOKUP(Tab_NewTRADER[[#This Row],[ClickTick]],TabCalc[Ticker],TabCalc[NAfter]))</f>
        <v>#DIV/0!</v>
      </c>
      <c r="BT71" s="687">
        <f ca="1">(Tab_NewTRADER[[#This Row],[M]]-Tab_NewTRADER[[#This Row],[Agiotage]])/(Tab_NewTRADER[[#This Row],[M]]-Tab_NewTRADER[[#This Row],[A]])-1</f>
        <v>-7.5994398660316209E-3</v>
      </c>
      <c r="BU71" s="1277">
        <f ca="1">_xlfn.XMATCH(Tab_NewTRADER[[#This Row],[ClickTick]]&amp;1, TabConsolid[#Headers])</f>
        <v>209</v>
      </c>
      <c r="BV71" t="b">
        <f ca="1">IF(ABS(Tab_NewTRADER[[#This Row],[L_Bp]])&gt;=Tab_NewTRADER[[#This Row],[M]],"OK")</f>
        <v>0</v>
      </c>
    </row>
    <row r="72" spans="1:74"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45.9%</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64,280$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-17.6% = 0</v>
      </c>
      <c r="I72" s="226" t="str">
        <f ca="1">IFERROR(TRUNC(TabCalc[[#This Row],[L_S1p]],2)&amp;"x"&amp;TabCalc[[#This Row],[L_S1n]]&amp;"=   "&amp;TEXT(TabCalc[[#This Row],[ReverseB1]],"#,#0"),"")</f>
        <v>212.3x25000=   -38,475</v>
      </c>
      <c r="J72" s="295">
        <f ca="1">_xlfn.XLOOKUP(Tab_NewTRADER[[#This Row],[ClickTick]],TabCalc[Ticker],ListGravity)</f>
        <v>1.2673244128891317</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3.8509130711539581</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0.84800161485668146</v>
      </c>
      <c r="S72" s="683">
        <f ca="1">_xlfn.XLOOKUP(Tab_NewTRADER[[#This Row],[ClickTick]],TabCalc[Ticker],TabCalc[Rev(MinStock)])*(1-Commission)</f>
        <v>0</v>
      </c>
      <c r="T72" s="782">
        <f ca="1">_xlfn.XLOOKUP(Tab_NewTRADER[[#This Row],[ClickTick]],TabCalc[Ticker],TabCalc[Agiotage])</f>
        <v>3.8509130711539581</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-11.6%</v>
      </c>
      <c r="V72" s="739" t="str">
        <f ca="1">_xlfn.XLOOKUP(Tab_NewTRADER[[#This Row],[ClickTick]],[1]!RTData[Ticker_Symbol],[1]!RTData[Currency])</f>
        <v>GBp</v>
      </c>
      <c r="W72" s="749">
        <f ca="1">_xlfn.XLOOKUP(Tab_NewTRADER[[#This Row],[ClickTick]],TabCalc[Ticker],TabCalc[M])</f>
        <v>366.2</v>
      </c>
      <c r="X72" s="1343"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E72" s="1195" t="str" cm="1">
        <f t="array" aca="1" ref="AE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2" s="1177" t="str" cm="1">
        <f t="array" aca="1" ref="AF72" ca="1">_xlfn.IFS(       Tab_NewTRADER[[#This Row],[Trap_vs_Last]]=RePurchaseGain,TEXT(Tab_NewTRADER[[#This Row],[L_Sn]],"#,#0")&amp;" x "&amp;TEXT(Tab_NewTRADER[[#This Row],[L_Sp]],"#,#0.#0"),     Tab_NewTRADER[[#This Row],[Trap_vs_Last]]=ReSaleGain,Tab_NewTRADER[[#This Row],[ToSell]],               TRUE,"")</f>
        <v/>
      </c>
      <c r="AG72" s="1177" t="str" cm="1">
        <f t="array" aca="1" ref="AG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2" s="1370" t="str">
        <f ca="1">TEXT(MIN(Tab_NewTRADER[[#This Row],[L_Bn]],Tab_NewTRADER[[#This Row],[N]]),"#,#0")&amp;" x "&amp;TEXT(Tab_NewTRADER[[#This Row],[L_Bp]],"#,#0.#0")</f>
        <v>0 x -198.16</v>
      </c>
      <c r="AI72" s="1370">
        <f ca="1">IF(Tab_NewTRADER[[#This Row],[M]]&lt;_xlfn.XLOOKUP(Tab_NewTRADER[[#This Row],[ClickTick]],TabCalc[Ticker],TabCalc[Max_Buy_P]), 0,Tab_NewTRADER[[#This Row],[Sale_Back_$]])</f>
        <v>0</v>
      </c>
      <c r="AJ72" s="1370" t="str">
        <f ca="1">TEXT(Tab_NewTRADER[[#This Row],[L_Sn]],"#,#0")&amp;" ("&amp;Tab_NewTRADER[[#This Row],[M]]&amp;"/"&amp;TEXT(Tab_NewTRADER[[#This Row],[L_Sp]],"#,#0.#0)")</f>
        <v>100,000 (366.2/301.92)</v>
      </c>
      <c r="AK72" s="1370">
        <f ca="1">IF(Tab_NewTRADER[[#This Row],[M]]&lt;_xlfn.XLOOKUP(Tab_NewTRADER[[#This Row],[ClickTick]],TabCalc[Ticker],TabCalc[Max_Buy_P]), -Tab_NewTRADER[[#This Row],[Buy_Back]], 0)</f>
        <v>0</v>
      </c>
      <c r="AL72" s="1177" t="str" cm="1">
        <f t="array" aca="1" ref="AL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2" s="1177">
        <f ca="1">Tab_NewTRADER[[#This Row],[N]]*(Tab_NewTRADER[[#This Row],[M]]-Tab_NewTRADER[[#This Row],[A]])*(1-Commission)*Tab_NewTRADER[[#This Row],[Scale]]</f>
        <v>0</v>
      </c>
      <c r="AN72" s="1177">
        <f ca="1">Tab_NewTRADER[[#This Row],[M]]*Tab_NewTRADER[[#This Row],[N]]*(1-Commission)*Tab_NewTRADER[[#This Row],[Scale]]</f>
        <v>0</v>
      </c>
      <c r="AO72" s="1186" t="str" cm="1">
        <f t="array" aca="1" ref="AO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2" s="1186" t="str" cm="1">
        <f t="array" aca="1" ref="AP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Tab_NewTRADER[[#This Row],[Trap_vs_Last]]=SellMorePercentGain,                     MIN(Tab_NewTRADER[[#This Row],[L_Sn]],Tab_NewTRADER[[#This Row],[N]])*(Tab_NewTRADER[[#This Row],[M]]-Tab_NewTRADER[[#This Row],[L_Sp]])*(1-Commission)*Tab_NewTRADER[[#This Row],[Scale]],                    TRUE,"")</f>
        <v/>
      </c>
      <c r="AR72" s="1175">
        <f ca="1">_xlfn.XLOOKUP(Tab_NewTRADER[[#This Row],[ClickTick]],TabCalc[Ticker],TabCalc[Ann%RevLB])</f>
        <v>0.77877699323572791</v>
      </c>
      <c r="AS72" s="1282">
        <f ca="1">_xlfn.XLOOKUP(Tab_NewTRADER[[#This Row],[ClickTick]],TabCalc[Ticker],TabCalc[Up20])</f>
        <v>0.42857142857142855</v>
      </c>
      <c r="AT72" s="1187" t="str" cm="1">
        <f t="array" aca="1" ref="AT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2" s="825" t="str" cm="1">
        <f t="array" aca="1" ref="AU72" ca="1">_xlfn.IFS(         Tab_NewTRADER[[#This Row],[Trap_vs_Last]]=MDown,Tab_NewTRADER[[#This Row],[L_Bn]]*Tab_NewTRADER[[#This Row],[M]]*(-(Tab_NewTRADER[[#This Row],[L_Bp]]+Tab_NewTRADER[[#This Row],[M]])/Tab_NewTRADER[[#This Row],[M]])*(1-Commission)*Tab_NewTRADER[[#This Row],[Scale]],                               TRUE,"")</f>
        <v/>
      </c>
      <c r="AV72" s="1186" t="str" cm="1">
        <f t="array" aca="1" ref="AV72" ca="1">_xlfn.IFS(   Tab_NewTRADER[[#This Row],[Trap_vs_Last]]=MUp,Tab_NewTRADER[[#This Row],[TakeGain_A]]-Commission,        Tab_NewTRADER[[#This Row],[Trap_vs_Last]]=MDown,(Tab_NewTRADER[[#This Row],[A]]-Tab_NewTRADER[[#This Row],[M]])/Tab_NewTRADER[[#This Row],[M]]-Commission,                              TRUE,"")</f>
        <v/>
      </c>
      <c r="AW72" s="825" cm="1">
        <f t="array" aca="1" ref="AW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2" s="760" t="str" cm="1">
        <f t="array" aca="1" ref="AX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-2.1%</v>
      </c>
      <c r="AY72" s="736" t="str" cm="1">
        <f t="array" aca="1" ref="AY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0x3.662</v>
      </c>
      <c r="AZ72" s="765" t="str" cm="1">
        <f t="array" aca="1" ref="AZ72" ca="1">_xlfn.IFS(Tab_NewTRADER[[#This Row],[Trap_vs_Last]]=ReSaleGain,"",         Tab_NewTRADER[[#This Row],[Trap_vs_Last]]=MDown, (Tab_NewTRADER[[#This Row],[M]]-Tab_NewTRADER[[#This Row],[A]])/Tab_NewTRADER[[#This Row],[A]]*ComFactor,             TRUE, IFERROR((Tab_NewTRADER[[#This Row],[M]]-Tab_NewTRADER[[#This Row],[A]])/Tab_NewTRADER[[#This Row],[A]]*ComFactor,""))</f>
        <v/>
      </c>
      <c r="BA72" s="762" cm="1">
        <f t="array" aca="1" ref="BA72" ca="1">_xlfn.IFS(               Tab_NewTRADER[[#This Row],[Trap_vs_Last]]=NoStock,(Tab_NewTRADER[[#This Row],[L_Sp]]-Tab_NewTRADER[[#This Row],[M]])/Tab_NewTRADER[[#This Row],[M]]-Commission,             Tab_NewTRADER[[#This Row],[A]]&lt;&gt;0,(Tab_NewTRADER[[#This Row],[A]]-Tab_NewTRADER[[#This Row],[M]])/Tab_NewTRADER[[#This Row],[M]]-Commission)</f>
        <v>-0.17813249590387759</v>
      </c>
      <c r="BB72" s="324">
        <f ca="1">_xlfn.XLOOKUP(Tab_NewTRADER[[#This Row],[ClickTick]],TabCalc[Ticker],TabCalc[L_Sn])</f>
        <v>100000</v>
      </c>
      <c r="BC72" s="728">
        <f ca="1">_xlfn.XLOOKUP(Tab_NewTRADER[[#This Row],[ClickTick]],TabCalc[Ticker],TabCalc[L_Sp])</f>
        <v>301.92</v>
      </c>
      <c r="BD72" s="764">
        <f ca="1">-IFERROR((Tab_NewTRADER[[#This Row],[M]]-Tab_NewTRADER[[#This Row],[L_Sp]])/Tab_NewTRADER[[#This Row],[L_Sp]],0)</f>
        <v>-0.21290408055113927</v>
      </c>
      <c r="BE72" s="729">
        <f ca="1">MIN(Tab_NewTRADER[[#This Row],[L_Sn]],Tab_NewTRADER[[#This Row],[N]])*(Tab_NewTRADER[[#This Row],[M]]-Tab_NewTRADER[[#This Row],[L_Sp]])*(1-Commission)*Tab_NewTRADER[[#This Row],[Scale]]</f>
        <v>0</v>
      </c>
      <c r="BF72" s="692">
        <f ca="1">Tab_NewTRADER[[#This Row],[L_Sn]]*(Tab_NewTRADER[[#This Row],[Agiotage]]-Tab_NewTRADER[[#This Row],[M]])/(Tab_NewTRADER[[#This Row],[L_Bn]]*Tab_NewTRADER[[#This Row],[M]])</f>
        <v>-3.9579365038650574</v>
      </c>
      <c r="BG72" s="635">
        <f ca="1">IFERROR((Tab_NewTRADER[[#This Row],[M]]-Tab_NewTRADER[[#This Row],[A]])/Tab_NewTRADER[[#This Row],[A]],0)</f>
        <v>0</v>
      </c>
      <c r="BH72" s="638" t="str">
        <f ca="1">TEXT(_xlfn.XLOOKUP(Tab_NewTRADER[[#This Row],[ClickTick]],TabCalc[Ticker],TabCalc[NAfter]),"#,#0")&amp;" : "&amp;TEXT(_xlfn.XLOOKUP(Tab_NewTRADER[[#This Row],[ClickTick]],TabCalc[Ticker],TabCalc[NAfter])*(Tab_NewTRADER[[#This Row],[M]]-Tab_NewTRADER[[#This Row],[A]])*(1-Commission)*Tab_NewTRADER[[#This Row],[Scale]],"#,#0$")</f>
        <v>0 : 0$</v>
      </c>
      <c r="BI72" s="684">
        <f ca="1">_xlfn.XLOOKUP(Tab_NewTRADER[[#This Row],[ClickTick]],TabCalc[[#This Row],[Ticker]],TabCalc[[#This Row],[GL]])*(1-Commission)</f>
        <v>177053.46099999998</v>
      </c>
      <c r="BJ72" s="684"/>
      <c r="BK72" s="669" t="str">
        <f ca="1">Tab_NewTRADER[[#This Row],[ClickTick]]&amp;": "&amp;_xlfn.XLOOKUP(Tab_NewTRADER[[#This Row],[ClickTick]],TabCalc[Ticker],TabCalc[Pile?])</f>
        <v>SAFIAG: Pile</v>
      </c>
      <c r="BL72" s="351" t="s">
        <v>1995</v>
      </c>
      <c r="BM72" s="755" t="str" cm="1">
        <f t="array" aca="1" ref="BM72" ca="1">_xlfn.TEXTJOIN("",,INDEX({"M","A","Y"}, _xlfn.SORTBY({1,2,3}, -CHOOSE({1,2,3}, Tab_NewTRADER[[#This Row],[M]], Tab_NewTRADER[[#This Row],[A]], Tab_NewTRADER[[#This Row],[Agiotage]]))))</f>
        <v>MYA</v>
      </c>
      <c r="BN72" s="909" t="str" cm="1">
        <f t="array" aca="1" ref="BN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2" s="679" t="e">
        <f ca="1">Tab_NewTRADER[[#This Row],[L_Sn]]*Tab_NewTRADER[[#This Row],[L_Sp]]+Tab_NewTRADER[[#This Row],[SellMore]]*Tab_NewTRADER[[#This Row],[M]]</f>
        <v>#N/A</v>
      </c>
      <c r="BP72" s="679" t="e">
        <f ca="1">INDEX(
  INDEX(TabConsolid[], , _xlfn.XMATCH(Tab_NewTRADER[[#This Row],[ClickTick]]&amp;1, TabConsolid[#Headers])),
  MATCH(
    -Tab_NewTRADER[[#This Row],[M]],
    INDEX(TabConsolid[], , _xlfn.XMATCH(Tab_NewTRADER[[#This Row],[ClickTick]]&amp;2, TabConsolid[#Headers])),
    -1
  )
)</f>
        <v>#N/A</v>
      </c>
      <c r="BQ72" s="679" cm="1">
        <f t="array" aca="1" ref="BQ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2" s="1156" t="e">
        <f ca="1">Tab_NewTRADER[[#This Row],[ReBuy]]/(Tab_NewTRADER[[#This Row],[L_Sn]]+Tab_NewTRADER[[#This Row],[SellMore]])</f>
        <v>#N/A</v>
      </c>
      <c r="BS72" s="687" t="e">
        <f ca="1">((_xlfn.XLOOKUP(Tab_NewTRADER[[#This Row],[ClickTick]],TabCalc[Ticker],TabCalc[NAfter])+Tab_NewTRADER[[#This Row],[L_Sn]])*(Tab_NewTRADER[[#This Row],[Agiotage]]-Tab_NewTRADER[[#This Row],[M]]))/(Tab_NewTRADER[[#This Row],[L_Sn]]*_xlfn.XLOOKUP(Tab_NewTRADER[[#This Row],[ClickTick]],TabCalc[Ticker],TabCalc[NAfter]))</f>
        <v>#DIV/0!</v>
      </c>
      <c r="BT72" s="687">
        <f ca="1">(Tab_NewTRADER[[#This Row],[M]]-Tab_NewTRADER[[#This Row],[Agiotage]])/(Tab_NewTRADER[[#This Row],[M]]-Tab_NewTRADER[[#This Row],[A]])-1</f>
        <v>-1.0515874033735551E-2</v>
      </c>
      <c r="BU72" s="1277">
        <f ca="1">_xlfn.XMATCH(Tab_NewTRADER[[#This Row],[ClickTick]]&amp;1, TabConsolid[#Headers])</f>
        <v>212</v>
      </c>
      <c r="BV72" t="b">
        <f ca="1">IF(ABS(Tab_NewTRADER[[#This Row],[L_Bp]])&gt;=Tab_NewTRADER[[#This Row],[M]],"OK")</f>
        <v>0</v>
      </c>
    </row>
    <row r="73" spans="1:74"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-42,863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-58.3%</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-48,017$</v>
      </c>
      <c r="G73" s="225" t="str">
        <f ca="1">IFERROR(TRUNC(_xlfn.XLOOKUP(Tab_NewTRADER[[#This Row],[ClickTick]],TabCalc[Ticker],ListLastSalep),2)&amp;"x"&amp;_xlfn.XLOOKUP(Tab_NewTRADER[[#This Row],[ClickTick]],TabCalc[Ticker],ListLastSalen)&amp;"=   "&amp;TEXT(-_xlfn.XLOOKUP(Tab_NewTRADER[[#This Row],[ClickTick]],TabCalc[Ticker],ListReverseB),"#,#0")&amp;"$","")</f>
        <v>124.1x200=   -19,915$</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406.0% = 50</v>
      </c>
      <c r="I73" s="226" t="str">
        <f ca="1">IFERROR(TRUNC(TabCalc[[#This Row],[L_S1p]],2)&amp;"x"&amp;TabCalc[[#This Row],[L_S1n]]&amp;"=   "&amp;TEXT(TabCalc[[#This Row],[ReverseB1]],"#,#0"),"")</f>
        <v>126.78x299=   30,574</v>
      </c>
      <c r="J73" s="295">
        <f ca="1">_xlfn.XLOOKUP(Tab_NewTRADER[[#This Row],[ClickTick]],TabCalc[Ticker],ListGravity)</f>
        <v>1.6432212028542303</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110362.5</v>
      </c>
      <c r="M73" s="323">
        <f ca="1">_xlfn.XLOOKUP(Tab_NewTRADER[[#This Row],[ClickTick]],TabCalc[Ticker],TabCalc[Agiotage])</f>
        <v>0.77200431078922915</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-0.36811757006745244</v>
      </c>
      <c r="S73" s="683">
        <f ca="1">_xlfn.XLOOKUP(Tab_NewTRADER[[#This Row],[ClickTick]],TabCalc[Ticker],TabCalc[Rev(MinStock)])*(1-Commission)</f>
        <v>-42751.356720000018</v>
      </c>
      <c r="T73" s="782">
        <f ca="1">_xlfn.XLOOKUP(Tab_NewTRADER[[#This Row],[ClickTick]],TabCalc[Ticker],TabCalc[Agiotage])</f>
        <v>0.77200431078922915</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3,275/3,275=&gt;0.8% / 0.8%</v>
      </c>
      <c r="V73" s="739" t="str">
        <f ca="1">_xlfn.XLOOKUP(Tab_NewTRADER[[#This Row],[ClickTick]],[1]!RTData[Ticker_Symbol],[1]!RTData[Currency])</f>
        <v>USD</v>
      </c>
      <c r="W73" s="749">
        <f ca="1">_xlfn.XLOOKUP(Tab_NewTRADER[[#This Row],[ClickTick]],TabCalc[Ticker],TabCalc[M])</f>
        <v>24.524999999999999</v>
      </c>
      <c r="X73" s="1343"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-176/123 K$</v>
      </c>
      <c r="AE73" s="1173" t="str" cm="1">
        <f t="array" aca="1" ref="AE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3" s="1177" t="str" cm="1">
        <f t="array" aca="1" ref="AF73" ca="1">_xlfn.IFS(       Tab_NewTRADER[[#This Row],[Trap_vs_Last]]=RePurchaseGain,TEXT(Tab_NewTRADER[[#This Row],[L_Sn]],"#,#0")&amp;" x "&amp;TEXT(Tab_NewTRADER[[#This Row],[L_Sp]],"#,#0.#0"),     Tab_NewTRADER[[#This Row],[Trap_vs_Last]]=ReSaleGain,Tab_NewTRADER[[#This Row],[ToSell]],               TRUE,"")</f>
        <v/>
      </c>
      <c r="AG73" s="1177" t="str" cm="1">
        <f t="array" aca="1" ref="AG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H73" s="1370" t="str">
        <f ca="1">TEXT(MIN(Tab_NewTRADER[[#This Row],[L_Bn]],Tab_NewTRADER[[#This Row],[N]]),"#,#0")&amp;" x "&amp;TEXT(Tab_NewTRADER[[#This Row],[L_Bp]],"#,#0.#0")</f>
        <v>3,000 x -38.81</v>
      </c>
      <c r="AI73" s="1370">
        <f ca="1">IF(Tab_NewTRADER[[#This Row],[M]]&lt;_xlfn.XLOOKUP(Tab_NewTRADER[[#This Row],[ClickTick]],TabCalc[Ticker],TabCalc[Max_Buy_P]), 0,Tab_NewTRADER[[#This Row],[Sale_Back_$]])</f>
        <v>0</v>
      </c>
      <c r="AJ73" s="1370" t="str">
        <f ca="1">TEXT(Tab_NewTRADER[[#This Row],[L_Sn]],"#,#0")&amp;" ("&amp;Tab_NewTRADER[[#This Row],[M]]&amp;"/"&amp;TEXT(Tab_NewTRADER[[#This Row],[L_Sp]],"#,#0.#0)")</f>
        <v>200 (24.525/124.10)</v>
      </c>
      <c r="AK73" s="1370">
        <f ca="1">IF(Tab_NewTRADER[[#This Row],[M]]&lt;_xlfn.XLOOKUP(Tab_NewTRADER[[#This Row],[ClickTick]],TabCalc[Ticker],TabCalc[Max_Buy_P]), -Tab_NewTRADER[[#This Row],[Buy_Back]], 0)</f>
        <v>19863.220999999994</v>
      </c>
      <c r="AL73" s="1177" cm="1">
        <f t="array" aca="1" ref="AL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42751.356720000018</v>
      </c>
      <c r="AM73" s="1177">
        <f ca="1">Tab_NewTRADER[[#This Row],[N]]*(Tab_NewTRADER[[#This Row],[M]]-Tab_NewTRADER[[#This Row],[A]])*(1-Commission)*Tab_NewTRADER[[#This Row],[Scale]]</f>
        <v>-185561.85700370002</v>
      </c>
      <c r="AN73" s="1177">
        <f ca="1">Tab_NewTRADER[[#This Row],[M]]*Tab_NewTRADER[[#This Row],[N]]*(1-Commission)*Tab_NewTRADER[[#This Row],[Scale]]</f>
        <v>122306.17499999999</v>
      </c>
      <c r="AO73" s="1186" cm="1">
        <f t="array" aca="1" ref="AO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0.60273181270561382</v>
      </c>
      <c r="AP73" s="1186" cm="1">
        <f t="array" aca="1" ref="AP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0.57997288481141707</v>
      </c>
      <c r="AQ73" s="825" t="str" cm="1">
        <f t="array" aca="1" ref="AQ73" ca="1">_xlfn.IFS(   Tab_NewTRADER[[#This Row],[Trap_vs_Last]]=SellMorePercentGain,                     MIN(Tab_NewTRADER[[#This Row],[L_Sn]],Tab_NewTRADER[[#This Row],[N]])*(Tab_NewTRADER[[#This Row],[M]]-Tab_NewTRADER[[#This Row],[L_Sp]])*(1-Commission)*Tab_NewTRADER[[#This Row],[Scale]],                    TRUE,"")</f>
        <v/>
      </c>
      <c r="AR73" s="1175">
        <f ca="1">_xlfn.XLOOKUP(Tab_NewTRADER[[#This Row],[ClickTick]],TabCalc[Ticker],TabCalc[Ann%RevLB])</f>
        <v>-0.45855475856153244</v>
      </c>
      <c r="AS73" s="1282">
        <f ca="1">_xlfn.XLOOKUP(Tab_NewTRADER[[#This Row],[ClickTick]],TabCalc[Ticker],TabCalc[Up20])</f>
        <v>0</v>
      </c>
      <c r="AT73" s="1187" cm="1">
        <f t="array" aca="1" ref="AT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0.58257288481141711</v>
      </c>
      <c r="AU73" s="825" cm="1">
        <f t="array" aca="1" ref="AU73" ca="1">_xlfn.IFS(         Tab_NewTRADER[[#This Row],[Trap_vs_Last]]=MDown,Tab_NewTRADER[[#This Row],[L_Bn]]*Tab_NewTRADER[[#This Row],[M]]*(-(Tab_NewTRADER[[#This Row],[L_Bp]]+Tab_NewTRADER[[#This Row],[M]])/Tab_NewTRADER[[#This Row],[M]])*(1-Commission)*Tab_NewTRADER[[#This Row],[Scale]],                               TRUE,"")</f>
        <v>42751.356720000018</v>
      </c>
      <c r="AV73" s="1186" cm="1">
        <f t="array" aca="1" ref="AV73" ca="1">_xlfn.IFS(   Tab_NewTRADER[[#This Row],[Trap_vs_Last]]=MUp,Tab_NewTRADER[[#This Row],[TakeGain_A]]-Commission,        Tab_NewTRADER[[#This Row],[Trap_vs_Last]]=MDown,(Tab_NewTRADER[[#This Row],[A]]-Tab_NewTRADER[[#This Row],[M]])/Tab_NewTRADER[[#This Row],[M]]-Commission,                              TRUE,"")</f>
        <v>1.5145912375127424</v>
      </c>
      <c r="AW73" s="825" cm="1">
        <f t="array" aca="1" ref="AW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185561.85700370002</v>
      </c>
      <c r="AX73" s="760" t="str" cm="1">
        <f t="array" aca="1" ref="AX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Y73" s="736" cm="1">
        <f t="array" aca="1" ref="AY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-14.28</v>
      </c>
      <c r="AZ73" s="765" cm="1">
        <f t="array" aca="1" ref="AZ73" ca="1">_xlfn.IFS(Tab_NewTRADER[[#This Row],[Trap_vs_Last]]=ReSaleGain,"",         Tab_NewTRADER[[#This Row],[Trap_vs_Last]]=MDown, (Tab_NewTRADER[[#This Row],[M]]-Tab_NewTRADER[[#This Row],[A]])/Tab_NewTRADER[[#This Row],[A]]*ComFactor,             TRUE, IFERROR((Tab_NewTRADER[[#This Row],[M]]-Tab_NewTRADER[[#This Row],[A]])/Tab_NewTRADER[[#This Row],[A]]*ComFactor,""))</f>
        <v>-0.6011647099925792</v>
      </c>
      <c r="BA73" s="762" cm="1">
        <f t="array" aca="1" ref="BA73" ca="1">_xlfn.IFS(               Tab_NewTRADER[[#This Row],[Trap_vs_Last]]=NoStock,(Tab_NewTRADER[[#This Row],[L_Sp]]-Tab_NewTRADER[[#This Row],[M]])/Tab_NewTRADER[[#This Row],[M]]-Commission,             Tab_NewTRADER[[#This Row],[A]]&lt;&gt;0,(Tab_NewTRADER[[#This Row],[A]]-Tab_NewTRADER[[#This Row],[M]])/Tab_NewTRADER[[#This Row],[M]]-Commission)</f>
        <v>1.5145912375127424</v>
      </c>
      <c r="BB73" s="324">
        <f ca="1">_xlfn.XLOOKUP(Tab_NewTRADER[[#This Row],[ClickTick]],TabCalc[Ticker],TabCalc[L_Sn])</f>
        <v>200</v>
      </c>
      <c r="BC73" s="728">
        <f ca="1">_xlfn.XLOOKUP(Tab_NewTRADER[[#This Row],[ClickTick]],TabCalc[Ticker],TabCalc[L_Sp])</f>
        <v>124.1</v>
      </c>
      <c r="BD73" s="764">
        <f ca="1">-IFERROR((Tab_NewTRADER[[#This Row],[M]]-Tab_NewTRADER[[#This Row],[L_Sp]])/Tab_NewTRADER[[#This Row],[L_Sp]],0)</f>
        <v>0.80237711522965349</v>
      </c>
      <c r="BE73" s="729">
        <f ca="1">MIN(Tab_NewTRADER[[#This Row],[L_Sn]],Tab_NewTRADER[[#This Row],[N]])*(Tab_NewTRADER[[#This Row],[M]]-Tab_NewTRADER[[#This Row],[L_Sp]])*(1-Commission)*Tab_NewTRADER[[#This Row],[Scale]]</f>
        <v>-19863.220999999994</v>
      </c>
      <c r="BF73" s="692">
        <f ca="1">Tab_NewTRADER[[#This Row],[L_Sn]]*(Tab_NewTRADER[[#This Row],[Agiotage]]-Tab_NewTRADER[[#This Row],[M]])/(Tab_NewTRADER[[#This Row],[L_Bn]]*Tab_NewTRADER[[#This Row],[M]])</f>
        <v>-6.4568116042706819E-2</v>
      </c>
      <c r="BG73" s="635">
        <f ca="1">IFERROR((Tab_NewTRADER[[#This Row],[M]]-Tab_NewTRADER[[#This Row],[A]])/Tab_NewTRADER[[#This Row],[A]],0)</f>
        <v>-0.60273181270561382</v>
      </c>
      <c r="BH73" s="638" t="str">
        <f ca="1">TEXT(_xlfn.XLOOKUP(Tab_NewTRADER[[#This Row],[ClickTick]],TabCalc[Ticker],TabCalc[NAfter]),"#,#0")&amp;" : "&amp;TEXT(_xlfn.XLOOKUP(Tab_NewTRADER[[#This Row],[ClickTick]],TabCalc[Ticker],TabCalc[NAfter])*(Tab_NewTRADER[[#This Row],[M]]-Tab_NewTRADER[[#This Row],[A]])*(1-Commission)*Tab_NewTRADER[[#This Row],[Scale]],"#,#0$")</f>
        <v>5,000 : -185,562$</v>
      </c>
      <c r="BI73" s="684">
        <f ca="1">_xlfn.XLOOKUP(Tab_NewTRADER[[#This Row],[ClickTick]],TabCalc[[#This Row],[Ticker]],TabCalc[[#This Row],[GL]])*(1-Commission)</f>
        <v>-175334.93681039999</v>
      </c>
      <c r="BJ73" s="684"/>
      <c r="BK73" s="669" t="str">
        <f ca="1">Tab_NewTRADER[[#This Row],[ClickTick]]&amp;": "&amp;_xlfn.XLOOKUP(Tab_NewTRADER[[#This Row],[ClickTick]],TabCalc[Ticker],TabCalc[Pile?])</f>
        <v>SAFMRNA: Pile</v>
      </c>
      <c r="BL73" s="351" t="s">
        <v>1996</v>
      </c>
      <c r="BM73" s="755" t="str" cm="1">
        <f t="array" aca="1" ref="BM73" ca="1">_xlfn.TEXTJOIN("",,INDEX({"M","A","Y"}, _xlfn.SORTBY({1,2,3}, -CHOOSE({1,2,3}, Tab_NewTRADER[[#This Row],[M]], Tab_NewTRADER[[#This Row],[A]], Tab_NewTRADER[[#This Row],[Agiotage]]))))</f>
        <v>AMY</v>
      </c>
      <c r="BN73" s="909" cm="1">
        <f t="array" aca="1" ref="BN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0.58257288481141711</v>
      </c>
      <c r="BO73" s="679" t="e">
        <f ca="1">Tab_NewTRADER[[#This Row],[L_Sn]]*Tab_NewTRADER[[#This Row],[L_Sp]]+Tab_NewTRADER[[#This Row],[SellMore]]*Tab_NewTRADER[[#This Row],[M]]</f>
        <v>#N/A</v>
      </c>
      <c r="BP73" s="679" t="e">
        <f ca="1">INDEX(
  INDEX(TabConsolid[], , _xlfn.XMATCH(Tab_NewTRADER[[#This Row],[ClickTick]]&amp;1, TabConsolid[#Headers])),
  MATCH(
    -Tab_NewTRADER[[#This Row],[M]],
    INDEX(TabConsolid[], , _xlfn.XMATCH(Tab_NewTRADER[[#This Row],[ClickTick]]&amp;2, TabConsolid[#Headers])),
    -1
  )
)</f>
        <v>#N/A</v>
      </c>
      <c r="BQ73" s="679" cm="1">
        <f t="array" aca="1" ref="BQ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73" s="1156" t="e">
        <f ca="1">Tab_NewTRADER[[#This Row],[ReBuy]]/(Tab_NewTRADER[[#This Row],[L_Sn]]+Tab_NewTRADER[[#This Row],[SellMore]])</f>
        <v>#N/A</v>
      </c>
      <c r="BS73" s="687">
        <f ca="1">((_xlfn.XLOOKUP(Tab_NewTRADER[[#This Row],[ClickTick]],TabCalc[Ticker],TabCalc[NAfter])+Tab_NewTRADER[[#This Row],[L_Sn]])*(Tab_NewTRADER[[#This Row],[Agiotage]]-Tab_NewTRADER[[#This Row],[M]]))/(Tab_NewTRADER[[#This Row],[L_Sn]]*_xlfn.XLOOKUP(Tab_NewTRADER[[#This Row],[ClickTick]],TabCalc[Ticker],TabCalc[NAfter]))</f>
        <v>-0.12351557758389602</v>
      </c>
      <c r="BT73" s="687">
        <f ca="1">(Tab_NewTRADER[[#This Row],[M]]-Tab_NewTRADER[[#This Row],[Agiotage]])/(Tab_NewTRADER[[#This Row],[M]]-Tab_NewTRADER[[#This Row],[A]])-1</f>
        <v>-1.6383649712005854</v>
      </c>
      <c r="BU73" s="1277">
        <f ca="1">_xlfn.XMATCH(Tab_NewTRADER[[#This Row],[ClickTick]]&amp;1, TabConsolid[#Headers])</f>
        <v>215</v>
      </c>
      <c r="BV73" t="str">
        <f ca="1">IF(ABS(Tab_NewTRADER[[#This Row],[L_Bp]])&gt;=Tab_NewTRADER[[#This Row],[M]],"OK")</f>
        <v>OK</v>
      </c>
    </row>
    <row r="74" spans="1:74"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+23,116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36.3%</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-7,002$</v>
      </c>
      <c r="G74" s="225" t="str">
        <f ca="1">IFERROR(TRUNC(_xlfn.XLOOKUP(Tab_NewTRADER[[#This Row],[ClickTick]],TabCalc[Ticker],ListLastSalep),2)&amp;"x"&amp;_xlfn.XLOOKUP(Tab_NewTRADER[[#This Row],[ClickTick]],TabCalc[Ticker],ListLastSalen)&amp;"=   "&amp;TEXT(-_xlfn.XLOOKUP(Tab_NewTRADER[[#This Row],[ClickTick]],TabCalc[Ticker],ListReverseB),"#,#0")&amp;"$","")</f>
        <v>1.91x12000=   -3,841$</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20.1% = 15,620</v>
      </c>
      <c r="I74" s="226" t="str">
        <f ca="1">IFERROR(TRUNC(TabCalc[[#This Row],[L_S1p]],2)&amp;"x"&amp;TabCalc[[#This Row],[L_S1n]]&amp;"=   "&amp;TEXT(TabCalc[[#This Row],[ReverseB1]],"#,#0"),"")</f>
        <v>1.52x28000=   -1,957</v>
      </c>
      <c r="J74" s="295">
        <f ca="1">_xlfn.XLOOKUP(Tab_NewTRADER[[#This Row],[ClickTick]],TabCalc[Ticker],ListGravity)</f>
        <v>1.5095289011887538</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143091</v>
      </c>
      <c r="M74" s="323">
        <f ca="1">_xlfn.XLOOKUP(Tab_NewTRADER[[#This Row],[ClickTick]],TabCalc[Ticker],TabCalc[Agiotage])</f>
        <v>0.47099359807750735</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0.57104743083003962</v>
      </c>
      <c r="S74" s="683">
        <f ca="1">_xlfn.XLOOKUP(Tab_NewTRADER[[#This Row],[ClickTick]],TabCalc[Ticker],TabCalc[Rev(MinStock)])*(1-Commission)</f>
        <v>23055.898400000002</v>
      </c>
      <c r="T74" s="782">
        <f ca="1">_xlfn.XLOOKUP(Tab_NewTRADER[[#This Row],[ClickTick]],TabCalc[Ticker],TabCalc[Agiotage])</f>
        <v>0.47099359807750735</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26,388/26,388=&gt;5.3% / 5.3%</v>
      </c>
      <c r="V74" s="739" t="str">
        <f ca="1">_xlfn.XLOOKUP(Tab_NewTRADER[[#This Row],[ClickTick]],[1]!RTData[Ticker_Symbol],[1]!RTData[Currency])</f>
        <v>USD</v>
      </c>
      <c r="W74" s="749">
        <f ca="1">_xlfn.XLOOKUP(Tab_NewTRADER[[#This Row],[ClickTick]],TabCalc[Ticker],TabCalc[M])</f>
        <v>1.5899000000000001</v>
      </c>
      <c r="X74" s="1343"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-253/191 K$</v>
      </c>
      <c r="AE74" s="1195" t="str" cm="1">
        <f t="array" aca="1" ref="AE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4" s="1177" t="str" cm="1">
        <f t="array" aca="1" ref="AF74" ca="1">_xlfn.IFS(       Tab_NewTRADER[[#This Row],[Trap_vs_Last]]=RePurchaseGain,TEXT(Tab_NewTRADER[[#This Row],[L_Sn]],"#,#0")&amp;" x "&amp;TEXT(Tab_NewTRADER[[#This Row],[L_Sp]],"#,#0.#0"),     Tab_NewTRADER[[#This Row],[Trap_vs_Last]]=ReSaleGain,Tab_NewTRADER[[#This Row],[ToSell]],               TRUE,"")</f>
        <v>12,000 x 1.91</v>
      </c>
      <c r="AG74" s="1177" cm="1">
        <f t="array" aca="1" ref="AG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3831.2128799999978</v>
      </c>
      <c r="AH74" s="1370" t="str">
        <f ca="1">TEXT(MIN(Tab_NewTRADER[[#This Row],[L_Bn]],Tab_NewTRADER[[#This Row],[N]]),"#,#0")&amp;" x "&amp;TEXT(Tab_NewTRADER[[#This Row],[L_Bp]],"#,#0.#0")</f>
        <v>40,000 x -1.01</v>
      </c>
      <c r="AI74" s="1370">
        <f ca="1">IF(Tab_NewTRADER[[#This Row],[M]]&lt;_xlfn.XLOOKUP(Tab_NewTRADER[[#This Row],[ClickTick]],TabCalc[Ticker],TabCalc[Max_Buy_P]), 0,Tab_NewTRADER[[#This Row],[Sale_Back_$]])</f>
        <v>0</v>
      </c>
      <c r="AJ74" s="1370" t="str">
        <f ca="1">TEXT(Tab_NewTRADER[[#This Row],[L_Sn]],"#,#0")&amp;" ("&amp;Tab_NewTRADER[[#This Row],[M]]&amp;"/"&amp;TEXT(Tab_NewTRADER[[#This Row],[L_Sp]],"#,#0.#0)")</f>
        <v>12,000 (1.5899/1.91)</v>
      </c>
      <c r="AK74" s="1370">
        <f ca="1">IF(Tab_NewTRADER[[#This Row],[M]]&lt;_xlfn.XLOOKUP(Tab_NewTRADER[[#This Row],[ClickTick]],TabCalc[Ticker],TabCalc[Max_Buy_P]), -Tab_NewTRADER[[#This Row],[Buy_Back]], 0)</f>
        <v>3831.2128799999978</v>
      </c>
      <c r="AL74" s="1177" t="str" cm="1">
        <f t="array" aca="1" ref="AL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4" s="1177">
        <f ca="1">Tab_NewTRADER[[#This Row],[N]]*(Tab_NewTRADER[[#This Row],[M]]-Tab_NewTRADER[[#This Row],[A]])*(1-Commission)*Tab_NewTRADER[[#This Row],[Scale]]</f>
        <v>-72636.652399999977</v>
      </c>
      <c r="AN74" s="1177">
        <f ca="1">Tab_NewTRADER[[#This Row],[M]]*Tab_NewTRADER[[#This Row],[N]]*(1-Commission)*Tab_NewTRADER[[#This Row],[Scale]]</f>
        <v>190291.95119999998</v>
      </c>
      <c r="AO74" s="1186" cm="1">
        <f t="array" aca="1" ref="AO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0.16759162303664912</v>
      </c>
      <c r="AP74" s="1186" t="str" cm="1">
        <f t="array" aca="1" ref="AP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Tab_NewTRADER[[#This Row],[Trap_vs_Last]]=SellMorePercentGain,                     MIN(Tab_NewTRADER[[#This Row],[L_Sn]],Tab_NewTRADER[[#This Row],[N]])*(Tab_NewTRADER[[#This Row],[M]]-Tab_NewTRADER[[#This Row],[L_Sp]])*(1-Commission)*Tab_NewTRADER[[#This Row],[Scale]],                    TRUE,"")</f>
        <v/>
      </c>
      <c r="AR74" s="1175">
        <f ca="1">_xlfn.XLOOKUP(Tab_NewTRADER[[#This Row],[ClickTick]],TabCalc[Ticker],TabCalc[Ann%RevLB])</f>
        <v>1.5341572768568228</v>
      </c>
      <c r="AS74" s="1282">
        <f ca="1">_xlfn.XLOOKUP(Tab_NewTRADER[[#This Row],[ClickTick]],TabCalc[Ticker],TabCalc[Up20])</f>
        <v>0</v>
      </c>
      <c r="AT74" s="1187" t="str" cm="1">
        <f t="array" aca="1" ref="AT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4" s="825" t="str" cm="1">
        <f t="array" aca="1" ref="AU74" ca="1">_xlfn.IFS(         Tab_NewTRADER[[#This Row],[Trap_vs_Last]]=MDown,Tab_NewTRADER[[#This Row],[L_Bn]]*Tab_NewTRADER[[#This Row],[M]]*(-(Tab_NewTRADER[[#This Row],[L_Bp]]+Tab_NewTRADER[[#This Row],[M]])/Tab_NewTRADER[[#This Row],[M]])*(1-Commission)*Tab_NewTRADER[[#This Row],[Scale]],                               TRUE,"")</f>
        <v/>
      </c>
      <c r="AV74" s="1186" t="str" cm="1">
        <f t="array" aca="1" ref="AV74" ca="1">_xlfn.IFS(   Tab_NewTRADER[[#This Row],[Trap_vs_Last]]=MUp,Tab_NewTRADER[[#This Row],[TakeGain_A]]-Commission,        Tab_NewTRADER[[#This Row],[Trap_vs_Last]]=MDown,(Tab_NewTRADER[[#This Row],[A]]-Tab_NewTRADER[[#This Row],[M]])/Tab_NewTRADER[[#This Row],[M]]-Commission,                              TRUE,"")</f>
        <v/>
      </c>
      <c r="AW74" s="825" cm="1">
        <f t="array" aca="1" ref="AW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-72636.652399999977</v>
      </c>
      <c r="AX74" s="760" t="str" cm="1">
        <f t="array" aca="1" ref="AX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74" s="736" t="str" cm="1">
        <f t="array" aca="1" ref="AY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4" s="765" cm="1">
        <f t="array" aca="1" ref="AZ74" ca="1">_xlfn.IFS(Tab_NewTRADER[[#This Row],[Trap_vs_Last]]=ReSaleGain,"",         Tab_NewTRADER[[#This Row],[Trap_vs_Last]]=MDown, (Tab_NewTRADER[[#This Row],[M]]-Tab_NewTRADER[[#This Row],[A]])/Tab_NewTRADER[[#This Row],[A]]*ComFactor,             TRUE, IFERROR((Tab_NewTRADER[[#This Row],[M]]-Tab_NewTRADER[[#This Row],[A]])/Tab_NewTRADER[[#This Row],[A]]*ComFactor,""))</f>
        <v>-0.27554171022783308</v>
      </c>
      <c r="BA74" s="762" cm="1">
        <f t="array" aca="1" ref="BA74" ca="1">_xlfn.IFS(               Tab_NewTRADER[[#This Row],[Trap_vs_Last]]=NoStock,(Tab_NewTRADER[[#This Row],[L_Sp]]-Tab_NewTRADER[[#This Row],[M]])/Tab_NewTRADER[[#This Row],[M]]-Commission,             Tab_NewTRADER[[#This Row],[A]]&lt;&gt;0,(Tab_NewTRADER[[#This Row],[A]]-Tab_NewTRADER[[#This Row],[M]])/Tab_NewTRADER[[#This Row],[M]]-Commission)</f>
        <v>0.3791116380485145</v>
      </c>
      <c r="BB74" s="324">
        <f ca="1">_xlfn.XLOOKUP(Tab_NewTRADER[[#This Row],[ClickTick]],TabCalc[Ticker],TabCalc[L_Sn])</f>
        <v>12000</v>
      </c>
      <c r="BC74" s="728">
        <f ca="1">_xlfn.XLOOKUP(Tab_NewTRADER[[#This Row],[ClickTick]],TabCalc[Ticker],TabCalc[L_Sp])</f>
        <v>1.91</v>
      </c>
      <c r="BD74" s="764">
        <f ca="1">-IFERROR((Tab_NewTRADER[[#This Row],[M]]-Tab_NewTRADER[[#This Row],[L_Sp]])/Tab_NewTRADER[[#This Row],[L_Sp]],0)</f>
        <v>0.16759162303664912</v>
      </c>
      <c r="BE74" s="729">
        <f ca="1">MIN(Tab_NewTRADER[[#This Row],[L_Sn]],Tab_NewTRADER[[#This Row],[N]])*(Tab_NewTRADER[[#This Row],[M]]-Tab_NewTRADER[[#This Row],[L_Sp]])*(1-Commission)*Tab_NewTRADER[[#This Row],[Scale]]</f>
        <v>-3831.2128799999978</v>
      </c>
      <c r="BF74" s="692">
        <f ca="1">Tab_NewTRADER[[#This Row],[L_Sn]]*(Tab_NewTRADER[[#This Row],[Agiotage]]-Tab_NewTRADER[[#This Row],[M]])/(Tab_NewTRADER[[#This Row],[L_Bn]]*Tab_NewTRADER[[#This Row],[M]])</f>
        <v>-0.21112769392839037</v>
      </c>
      <c r="BG74" s="635">
        <f ca="1">IFERROR((Tab_NewTRADER[[#This Row],[M]]-Tab_NewTRADER[[#This Row],[A]])/Tab_NewTRADER[[#This Row],[A]],0)</f>
        <v>-0.27625998619193209</v>
      </c>
      <c r="BH74" s="638" t="str">
        <f ca="1">TEXT(_xlfn.XLOOKUP(Tab_NewTRADER[[#This Row],[ClickTick]],TabCalc[Ticker],TabCalc[NAfter]),"#,#0")&amp;" : "&amp;TEXT(_xlfn.XLOOKUP(Tab_NewTRADER[[#This Row],[ClickTick]],TabCalc[Ticker],TabCalc[NAfter])*(Tab_NewTRADER[[#This Row],[M]]-Tab_NewTRADER[[#This Row],[A]])*(1-Commission)*Tab_NewTRADER[[#This Row],[Scale]],"#,#0$")</f>
        <v>120,000 : -72,637$</v>
      </c>
      <c r="BI74" s="684">
        <f ca="1">_xlfn.XLOOKUP(Tab_NewTRADER[[#This Row],[ClickTick]],TabCalc[[#This Row],[Ticker]],TabCalc[[#This Row],[GL]])*(1-Commission)</f>
        <v>-252345.082486</v>
      </c>
      <c r="BJ74" s="684"/>
      <c r="BK74" s="669" t="str">
        <f ca="1">Tab_NewTRADER[[#This Row],[ClickTick]]&amp;": "&amp;_xlfn.XLOOKUP(Tab_NewTRADER[[#This Row],[ClickTick]],TabCalc[Ticker],TabCalc[Pile?])</f>
        <v>BLNK: Pile</v>
      </c>
      <c r="BL74" s="351" t="s">
        <v>1997</v>
      </c>
      <c r="BM74" s="755" t="str" cm="1">
        <f t="array" aca="1" ref="BM74" ca="1">_xlfn.TEXTJOIN("",,INDEX({"M","A","Y"}, _xlfn.SORTBY({1,2,3}, -CHOOSE({1,2,3}, Tab_NewTRADER[[#This Row],[M]], Tab_NewTRADER[[#This Row],[A]], Tab_NewTRADER[[#This Row],[Agiotage]]))))</f>
        <v>AMY</v>
      </c>
      <c r="BN74" s="909" t="str" cm="1">
        <f t="array" aca="1" ref="BN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4" s="679" t="e">
        <f ca="1">Tab_NewTRADER[[#This Row],[L_Sn]]*Tab_NewTRADER[[#This Row],[L_Sp]]+Tab_NewTRADER[[#This Row],[SellMore]]*Tab_NewTRADER[[#This Row],[M]]</f>
        <v>#N/A</v>
      </c>
      <c r="BP74" s="679" t="e">
        <f ca="1">INDEX(
  INDEX(TabConsolid[], , _xlfn.XMATCH(Tab_NewTRADER[[#This Row],[ClickTick]]&amp;1, TabConsolid[#Headers])),
  MATCH(
    -Tab_NewTRADER[[#This Row],[M]],
    INDEX(TabConsolid[], , _xlfn.XMATCH(Tab_NewTRADER[[#This Row],[ClickTick]]&amp;2, TabConsolid[#Headers])),
    -1
  )
)</f>
        <v>#N/A</v>
      </c>
      <c r="BQ74" s="679" cm="1">
        <f t="array" aca="1" ref="BQ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74" s="1156" t="e">
        <f ca="1">Tab_NewTRADER[[#This Row],[ReBuy]]/(Tab_NewTRADER[[#This Row],[L_Sn]]+Tab_NewTRADER[[#This Row],[SellMore]])</f>
        <v>#N/A</v>
      </c>
      <c r="BS74" s="687">
        <f ca="1">((_xlfn.XLOOKUP(Tab_NewTRADER[[#This Row],[ClickTick]],TabCalc[Ticker],TabCalc[NAfter])+Tab_NewTRADER[[#This Row],[L_Sn]])*(Tab_NewTRADER[[#This Row],[Agiotage]]-Tab_NewTRADER[[#This Row],[M]]))/(Tab_NewTRADER[[#This Row],[L_Sn]]*_xlfn.XLOOKUP(Tab_NewTRADER[[#This Row],[ClickTick]],TabCalc[Ticker],TabCalc[NAfter]))</f>
        <v>-1.0256642017622851E-4</v>
      </c>
      <c r="BT74" s="687">
        <f ca="1">(Tab_NewTRADER[[#This Row],[M]]-Tab_NewTRADER[[#This Row],[Agiotage]])/(Tab_NewTRADER[[#This Row],[M]]-Tab_NewTRADER[[#This Row],[A]])-1</f>
        <v>-2.8436927502636307</v>
      </c>
      <c r="BU74" s="1277">
        <f ca="1">_xlfn.XMATCH(Tab_NewTRADER[[#This Row],[ClickTick]]&amp;1, TabConsolid[#Headers])</f>
        <v>218</v>
      </c>
      <c r="BV74" t="b">
        <f ca="1">IF(ABS(Tab_NewTRADER[[#This Row],[L_Bp]])&gt;=Tab_NewTRADER[[#This Row],[M]],"OK")</f>
        <v>0</v>
      </c>
    </row>
    <row r="75" spans="1:74"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+10,631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6.7%</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4,708/17,000=75,009</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10,110$</v>
      </c>
      <c r="G75" s="225" t="str">
        <f ca="1">IFERROR(TRUNC(_xlfn.XLOOKUP(Tab_NewTRADER[[#This Row],[ClickTick]],TabCalc[Ticker],ListLastSalep),2)&amp;"x"&amp;_xlfn.XLOOKUP(Tab_NewTRADER[[#This Row],[ClickTick]],TabCalc[Ticker],ListLastSalen)&amp;"=   "&amp;TEXT(-_xlfn.XLOOKUP(Tab_NewTRADER[[#This Row],[ClickTick]],TabCalc[Ticker],ListReverseB),"#,#0")&amp;"$","")</f>
        <v>15.86x5000=   360$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75" s="226" t="str">
        <f ca="1">IFERROR(TRUNC(TabCalc[[#This Row],[L_S1p]],2)&amp;"x"&amp;TabCalc[[#This Row],[L_S1n]]&amp;"=   "&amp;TEXT(TabCalc[[#This Row],[ReverseB1]],"#,#0"),"")</f>
        <v>15.21x2000=   -1,444</v>
      </c>
      <c r="J75" s="295">
        <f ca="1">_xlfn.XLOOKUP(Tab_NewTRADER[[#This Row],[ClickTick]],TabCalc[Ticker],ListGravity)</f>
        <v>1.0119715038915391</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154540.4</v>
      </c>
      <c r="M75" s="323">
        <f ca="1">_xlfn.XLOOKUP(Tab_NewTRADER[[#This Row],[ClickTick]],TabCalc[Ticker],TabCalc[Agiotage])</f>
        <v>0.59620640604938813</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7.14189643577674E-2</v>
      </c>
      <c r="S75" s="683">
        <f ca="1">_xlfn.XLOOKUP(Tab_NewTRADER[[#This Row],[ClickTick]],TabCalc[Ticker],TabCalc[Rev(MinStock)])*(1-Commission)</f>
        <v>10602.980388000011</v>
      </c>
      <c r="T75" s="782">
        <f ca="1">_xlfn.XLOOKUP(Tab_NewTRADER[[#This Row],[ClickTick]],TabCalc[Ticker],TabCalc[Agiotage])</f>
        <v>0.59620640604938813</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-1,326/-1,326=&gt;-0.1% / -0.1%</v>
      </c>
      <c r="V75" s="739" t="str">
        <f ca="1">_xlfn.XLOOKUP(Tab_NewTRADER[[#This Row],[ClickTick]],[1]!RTData[Ticker_Symbol],[1]!RTData[Currency])</f>
        <v>EUR</v>
      </c>
      <c r="W75" s="749">
        <f ca="1">_xlfn.XLOOKUP(Tab_NewTRADER[[#This Row],[ClickTick]],TabCalc[Ticker],TabCalc[M])</f>
        <v>15.932</v>
      </c>
      <c r="X75" s="1343"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^34 / 271 K$</v>
      </c>
      <c r="AE75" s="1195" t="str" cm="1">
        <f t="array" aca="1" ref="AE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75" s="1177" t="str" cm="1">
        <f t="array" aca="1" ref="AF75" ca="1">_xlfn.IFS(       Tab_NewTRADER[[#This Row],[Trap_vs_Last]]=RePurchaseGain,TEXT(Tab_NewTRADER[[#This Row],[L_Sn]],"#,#0")&amp;" x "&amp;TEXT(Tab_NewTRADER[[#This Row],[L_Sp]],"#,#0.#0"),     Tab_NewTRADER[[#This Row],[Trap_vs_Last]]=ReSaleGain,Tab_NewTRADER[[#This Row],[ToSell]],               TRUE,"")</f>
        <v/>
      </c>
      <c r="AG75" s="1177" t="str" cm="1">
        <f t="array" aca="1" ref="AG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H75" s="1370" t="str">
        <f ca="1">TEXT(MIN(Tab_NewTRADER[[#This Row],[L_Bn]],Tab_NewTRADER[[#This Row],[N]]),"#,#0")&amp;" x "&amp;TEXT(Tab_NewTRADER[[#This Row],[L_Bp]],"#,#0.#0")</f>
        <v>10,010 x -14.87</v>
      </c>
      <c r="AI75" s="1370">
        <f ca="1">IF(Tab_NewTRADER[[#This Row],[M]]&lt;_xlfn.XLOOKUP(Tab_NewTRADER[[#This Row],[ClickTick]],TabCalc[Ticker],TabCalc[Max_Buy_P]), 0,Tab_NewTRADER[[#This Row],[Sale_Back_$]])</f>
        <v>10602.980388000011</v>
      </c>
      <c r="AJ75" s="1370" t="str">
        <f ca="1">TEXT(Tab_NewTRADER[[#This Row],[L_Sn]],"#,#0")&amp;" ("&amp;Tab_NewTRADER[[#This Row],[M]]&amp;"/"&amp;TEXT(Tab_NewTRADER[[#This Row],[L_Sp]],"#,#0.#0)")</f>
        <v>5,000 (15.932/15.86)</v>
      </c>
      <c r="AK75" s="1370">
        <f ca="1">IF(Tab_NewTRADER[[#This Row],[M]]&lt;_xlfn.XLOOKUP(Tab_NewTRADER[[#This Row],[ClickTick]],TabCalc[Ticker],TabCalc[Max_Buy_P]), -Tab_NewTRADER[[#This Row],[Buy_Back]], 0)</f>
        <v>0</v>
      </c>
      <c r="AL75" s="1177" cm="1">
        <f t="array" aca="1" ref="AL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359.06400000000474</v>
      </c>
      <c r="AM75" s="1177">
        <f ca="1">Tab_NewTRADER[[#This Row],[N]]*(Tab_NewTRADER[[#This Row],[M]]-Tab_NewTRADER[[#This Row],[A]])*(1-Commission)*Tab_NewTRADER[[#This Row],[Scale]]</f>
        <v>17658.4683</v>
      </c>
      <c r="AN75" s="1177">
        <f ca="1">Tab_NewTRADER[[#This Row],[M]]*Tab_NewTRADER[[#This Row],[N]]*(1-Commission)*Tab_NewTRADER[[#This Row],[Scale]]</f>
        <v>270139.80559999996</v>
      </c>
      <c r="AO75" s="1186" cm="1">
        <f t="array" aca="1" ref="AO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6.993969728153844E-2</v>
      </c>
      <c r="AP75" s="1186" cm="1">
        <f t="array" aca="1" ref="AP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1.9192066281697815E-3</v>
      </c>
      <c r="AQ75" s="825" cm="1">
        <f t="array" aca="1" ref="AQ75" ca="1">_xlfn.IFS(   Tab_NewTRADER[[#This Row],[Trap_vs_Last]]=SellMorePercentGain,                     MIN(Tab_NewTRADER[[#This Row],[L_Sn]],Tab_NewTRADER[[#This Row],[N]])*(Tab_NewTRADER[[#This Row],[M]]-Tab_NewTRADER[[#This Row],[L_Sp]])*(1-Commission)*Tab_NewTRADER[[#This Row],[Scale]],                    TRUE,"")</f>
        <v>359.06400000000474</v>
      </c>
      <c r="AR75" s="1342">
        <f ca="1">_xlfn.XLOOKUP(Tab_NewTRADER[[#This Row],[ClickTick]],TabCalc[Ticker],TabCalc[Ann%RevLB])</f>
        <v>0.52471075854686255</v>
      </c>
      <c r="AS75" s="1281">
        <f ca="1">_xlfn.XLOOKUP(Tab_NewTRADER[[#This Row],[ClickTick]],TabCalc[Ticker],TabCalc[Up20])</f>
        <v>0</v>
      </c>
      <c r="AT75" s="1187" t="str" cm="1">
        <f t="array" aca="1" ref="AT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5" s="825" t="str" cm="1">
        <f t="array" aca="1" ref="AU75" ca="1">_xlfn.IFS(         Tab_NewTRADER[[#This Row],[Trap_vs_Last]]=MDown,Tab_NewTRADER[[#This Row],[L_Bn]]*Tab_NewTRADER[[#This Row],[M]]*(-(Tab_NewTRADER[[#This Row],[L_Bp]]+Tab_NewTRADER[[#This Row],[M]])/Tab_NewTRADER[[#This Row],[M]])*(1-Commission)*Tab_NewTRADER[[#This Row],[Scale]],                               TRUE,"")</f>
        <v/>
      </c>
      <c r="AV75" s="1186" cm="1">
        <f t="array" aca="1" ref="AV75" ca="1">_xlfn.IFS(   Tab_NewTRADER[[#This Row],[Trap_vs_Last]]=MUp,Tab_NewTRADER[[#This Row],[TakeGain_A]]-Commission,        Tab_NewTRADER[[#This Row],[Trap_vs_Last]]=MDown,(Tab_NewTRADER[[#This Row],[A]]-Tab_NewTRADER[[#This Row],[M]])/Tab_NewTRADER[[#This Row],[M]]-Commission,                              TRUE,"")</f>
        <v>6.7339697281538435E-2</v>
      </c>
      <c r="AW75" s="760" cm="1">
        <f t="array" aca="1" ref="AW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18893.496227357642</v>
      </c>
      <c r="AX75" s="760" t="str" cm="1">
        <f t="array" aca="1" ref="AX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75" s="736" t="str" cm="1">
        <f t="array" aca="1" ref="AY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10,010x1.04</v>
      </c>
      <c r="AZ75" s="765" cm="1">
        <f t="array" aca="1" ref="AZ75" ca="1">_xlfn.IFS(Tab_NewTRADER[[#This Row],[Trap_vs_Last]]=ReSaleGain,"",         Tab_NewTRADER[[#This Row],[Trap_vs_Last]]=MDown, (Tab_NewTRADER[[#This Row],[M]]-Tab_NewTRADER[[#This Row],[A]])/Tab_NewTRADER[[#This Row],[A]]*ComFactor,             TRUE, IFERROR((Tab_NewTRADER[[#This Row],[M]]-Tab_NewTRADER[[#This Row],[A]])/Tab_NewTRADER[[#This Row],[A]]*ComFactor,""))</f>
        <v>6.9757854068606434E-2</v>
      </c>
      <c r="BA75" s="762" cm="1">
        <f t="array" aca="1" ref="BA75" ca="1">_xlfn.IFS(               Tab_NewTRADER[[#This Row],[Trap_vs_Last]]=NoStock,(Tab_NewTRADER[[#This Row],[L_Sp]]-Tab_NewTRADER[[#This Row],[M]])/Tab_NewTRADER[[#This Row],[M]]-Commission,             Tab_NewTRADER[[#This Row],[A]]&lt;&gt;0,(Tab_NewTRADER[[#This Row],[A]]-Tab_NewTRADER[[#This Row],[M]])/Tab_NewTRADER[[#This Row],[M]]-Commission)</f>
        <v>-6.7967887049371595E-2</v>
      </c>
      <c r="BB75" s="324">
        <f ca="1">_xlfn.XLOOKUP(Tab_NewTRADER[[#This Row],[ClickTick]],TabCalc[Ticker],TabCalc[L_Sn])</f>
        <v>5000</v>
      </c>
      <c r="BC75" s="728">
        <f ca="1">_xlfn.XLOOKUP(Tab_NewTRADER[[#This Row],[ClickTick]],TabCalc[Ticker],TabCalc[L_Sp])</f>
        <v>15.86</v>
      </c>
      <c r="BD75" s="764">
        <f ca="1">-IFERROR((Tab_NewTRADER[[#This Row],[M]]-Tab_NewTRADER[[#This Row],[L_Sp]])/Tab_NewTRADER[[#This Row],[L_Sp]],0)</f>
        <v>-4.5397225725095176E-3</v>
      </c>
      <c r="BE75" s="729">
        <f ca="1">MIN(Tab_NewTRADER[[#This Row],[L_Sn]],Tab_NewTRADER[[#This Row],[N]])*(Tab_NewTRADER[[#This Row],[M]]-Tab_NewTRADER[[#This Row],[L_Sp]])*(1-Commission)*Tab_NewTRADER[[#This Row],[Scale]]</f>
        <v>359.06400000000474</v>
      </c>
      <c r="BF75" s="692">
        <f ca="1">Tab_NewTRADER[[#This Row],[L_Sn]]*(Tab_NewTRADER[[#This Row],[Agiotage]]-Tab_NewTRADER[[#This Row],[M]])/(Tab_NewTRADER[[#This Row],[L_Bn]]*Tab_NewTRADER[[#This Row],[M]])</f>
        <v>-0.48080821996076395</v>
      </c>
      <c r="BG75" s="635">
        <f ca="1">IFERROR((Tab_NewTRADER[[#This Row],[M]]-Tab_NewTRADER[[#This Row],[A]])/Tab_NewTRADER[[#This Row],[A]],0)</f>
        <v>6.993969728153844E-2</v>
      </c>
      <c r="BH75" s="638" t="str">
        <f ca="1">TEXT(_xlfn.XLOOKUP(Tab_NewTRADER[[#This Row],[ClickTick]],TabCalc[Ticker],TabCalc[NAfter]),"#,#0")&amp;" : "&amp;TEXT(_xlfn.XLOOKUP(Tab_NewTRADER[[#This Row],[ClickTick]],TabCalc[Ticker],TabCalc[NAfter])*(Tab_NewTRADER[[#This Row],[M]]-Tab_NewTRADER[[#This Row],[A]])*(1-Commission)*Tab_NewTRADER[[#This Row],[Scale]],"#,#0$")</f>
        <v>17,000 : 17,658$</v>
      </c>
      <c r="BI75" s="684">
        <f ca="1">_xlfn.XLOOKUP(Tab_NewTRADER[[#This Row],[ClickTick]],TabCalc[[#This Row],[Ticker]],TabCalc[[#This Row],[GL]])*(1-Commission)</f>
        <v>33953.028006400076</v>
      </c>
      <c r="BJ75" s="684"/>
      <c r="BK75" s="669" t="str">
        <f ca="1">Tab_NewTRADER[[#This Row],[ClickTick]]&amp;": "&amp;_xlfn.XLOOKUP(Tab_NewTRADER[[#This Row],[ClickTick]],TabCalc[Ticker],TabCalc[Pile?])</f>
        <v xml:space="preserve">ENI: </v>
      </c>
      <c r="BL75" s="351" t="s">
        <v>2008</v>
      </c>
      <c r="BM75" s="755" t="str" cm="1">
        <f t="array" aca="1" ref="BM75" ca="1">_xlfn.TEXTJOIN("",,INDEX({"M","A","Y"}, _xlfn.SORTBY({1,2,3}, -CHOOSE({1,2,3}, Tab_NewTRADER[[#This Row],[M]], Tab_NewTRADER[[#This Row],[A]], Tab_NewTRADER[[#This Row],[Agiotage]]))))</f>
        <v>MAY</v>
      </c>
      <c r="BN75" s="909" cm="1">
        <f t="array" aca="1" ref="BN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4.5192066281697814E-3</v>
      </c>
      <c r="BO75" s="679">
        <f ca="1">Tab_NewTRADER[[#This Row],[L_Sn]]*Tab_NewTRADER[[#This Row],[L_Sp]]+Tab_NewTRADER[[#This Row],[SellMore]]*Tab_NewTRADER[[#This Row],[M]]</f>
        <v>190664.68</v>
      </c>
      <c r="BP75" s="679">
        <f ca="1">INDEX(
  INDEX(TabConsolid[], , _xlfn.XMATCH(Tab_NewTRADER[[#This Row],[ClickTick]]&amp;1, TabConsolid[#Headers])),
  MATCH(
    -Tab_NewTRADER[[#This Row],[M]],
    INDEX(TabConsolid[], , _xlfn.XMATCH(Tab_NewTRADER[[#This Row],[ClickTick]]&amp;2, TabConsolid[#Headers])),
    -1
  )
)</f>
        <v>6990</v>
      </c>
      <c r="BQ75" s="679" cm="1">
        <f t="array" aca="1" ref="BQ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R75" s="1156">
        <f ca="1">Tab_NewTRADER[[#This Row],[ReBuy]]/(Tab_NewTRADER[[#This Row],[L_Sn]]+Tab_NewTRADER[[#This Row],[SellMore]])</f>
        <v>15.901974979149291</v>
      </c>
      <c r="BS75" s="687">
        <f ca="1">((_xlfn.XLOOKUP(Tab_NewTRADER[[#This Row],[ClickTick]],TabCalc[Ticker],TabCalc[NAfter])+Tab_NewTRADER[[#This Row],[L_Sn]])*(Tab_NewTRADER[[#This Row],[Agiotage]]-Tab_NewTRADER[[#This Row],[M]]))/(Tab_NewTRADER[[#This Row],[L_Sn]]*_xlfn.XLOOKUP(Tab_NewTRADER[[#This Row],[ClickTick]],TabCalc[Ticker],TabCalc[NAfter]))</f>
        <v>-3.9692642243166288E-3</v>
      </c>
      <c r="BT75" s="687">
        <f ca="1">(Tab_NewTRADER[[#This Row],[M]]-Tab_NewTRADER[[#This Row],[Agiotage]])/(Tab_NewTRADER[[#This Row],[M]]-Tab_NewTRADER[[#This Row],[A]])-1</f>
        <v>13.725549498554628</v>
      </c>
      <c r="BU75" s="1277">
        <f ca="1">_xlfn.XMATCH(Tab_NewTRADER[[#This Row],[ClickTick]]&amp;1, TabConsolid[#Headers])</f>
        <v>221</v>
      </c>
      <c r="BV75" t="b">
        <f ca="1">IF(ABS(Tab_NewTRADER[[#This Row],[L_Bp]])&gt;=Tab_NewTRADER[[#This Row],[M]],"OK")</f>
        <v>0</v>
      </c>
    </row>
    <row r="76" spans="1:74"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+4,078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20,661</v>
      </c>
      <c r="F76" s="226" t="str">
        <f ca="1">TRUNC(TabCalc[[#This Row],[L_B1p]],2)&amp;"x"&amp;TabCalc[[#This Row],[L_B1n]]&amp;"=   "&amp;TEXT(TabCalc[[#This Row],[ReverseS1]],"#,#0")&amp;"$"</f>
        <v>-480.9x10000=   -950$</v>
      </c>
      <c r="G76" s="225" t="str">
        <f ca="1">IFERROR(TRUNC(_xlfn.XLOOKUP(Tab_NewTRADER[[#This Row],[ClickTick]],TabCalc[Ticker],ListLastSalep),2)&amp;"x"&amp;_xlfn.XLOOKUP(Tab_NewTRADER[[#This Row],[ClickTick]],TabCalc[Ticker],ListLastSalen)&amp;"=   "&amp;TEXT(-_xlfn.XLOOKUP(Tab_NewTRADER[[#This Row],[ClickTick]],TabCalc[Ticker],ListReverseB),"#,#0")&amp;"$","")</f>
        <v>495.6x10000=   -2,420$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207</v>
      </c>
      <c r="I76" s="226" t="str">
        <f ca="1">IFERROR(TRUNC(TabCalc[[#This Row],[L_S1p]],2)&amp;"x"&amp;TabCalc[[#This Row],[L_S1n]]&amp;"=   "&amp;TEXT(TabCalc[[#This Row],[ReverseB1]],"#,#0"),"")</f>
        <v>544.2x18000=   13,104</v>
      </c>
      <c r="J76" s="295">
        <f ca="1">_xlfn.XLOOKUP(Tab_NewTRADER[[#This Row],[ClickTick]],TabCalc[Ticker],ListGravity)</f>
        <v>1.3284896054306323</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49779.840000000004</v>
      </c>
      <c r="M76" s="323">
        <f ca="1">_xlfn.XLOOKUP(Tab_NewTRADER[[#This Row],[ClickTick]],TabCalc[Ticker],TabCalc[Agiotage])</f>
        <v>1.0236134740717646</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4.520964058446595E-2</v>
      </c>
      <c r="S76" s="683">
        <f ca="1">_xlfn.XLOOKUP(Tab_NewTRADER[[#This Row],[ClickTick]],TabCalc[Ticker],TabCalc[Rev(MinStock)])*(1-Commission)</f>
        <v>4067.3971999999972</v>
      </c>
      <c r="T76" s="782">
        <f ca="1">_xlfn.XLOOKUP(Tab_NewTRADER[[#This Row],[ClickTick]],TabCalc[Ticker],TabCalc[Agiotage])</f>
        <v>1.0236134740717646</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-2,130/-2,130=&gt;-1.5% / -1.5%</v>
      </c>
      <c r="V76" s="739" t="str">
        <f ca="1">_xlfn.XLOOKUP(Tab_NewTRADER[[#This Row],[ClickTick]],[1]!RTData[Ticker_Symbol],[1]!RTData[Currency])</f>
        <v>GBp</v>
      </c>
      <c r="W76" s="749">
        <f ca="1">_xlfn.XLOOKUP(Tab_NewTRADER[[#This Row],[ClickTick]],TabCalc[Ticker],TabCalc[M])</f>
        <v>471.4</v>
      </c>
      <c r="X76" s="1343"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^33 / 141 K$</v>
      </c>
      <c r="AE76" s="1195" t="str" cm="1">
        <f t="array" aca="1" ref="AE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6" s="1177" t="str" cm="1">
        <f t="array" aca="1" ref="AF76" ca="1">_xlfn.IFS(       Tab_NewTRADER[[#This Row],[Trap_vs_Last]]=RePurchaseGain,TEXT(Tab_NewTRADER[[#This Row],[L_Sn]],"#,#0")&amp;" x "&amp;TEXT(Tab_NewTRADER[[#This Row],[L_Sp]],"#,#0.#0"),     Tab_NewTRADER[[#This Row],[Trap_vs_Last]]=ReSaleGain,Tab_NewTRADER[[#This Row],[ToSell]],               TRUE,"")</f>
        <v>10,000 x 495.60</v>
      </c>
      <c r="AG76" s="1177" cm="1">
        <f t="array" aca="1" ref="AG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2413.7080000000046</v>
      </c>
      <c r="AH76" s="1370" t="str">
        <f ca="1">TEXT(MIN(Tab_NewTRADER[[#This Row],[L_Bn]],Tab_NewTRADER[[#This Row],[N]]),"#,#0")&amp;" x "&amp;TEXT(Tab_NewTRADER[[#This Row],[L_Bp]],"#,#0.#0")</f>
        <v>20,000 x -451.01</v>
      </c>
      <c r="AI76" s="1370">
        <f ca="1">IF(Tab_NewTRADER[[#This Row],[M]]&lt;_xlfn.XLOOKUP(Tab_NewTRADER[[#This Row],[ClickTick]],TabCalc[Ticker],TabCalc[Max_Buy_P]), 0,Tab_NewTRADER[[#This Row],[Sale_Back_$]])</f>
        <v>0</v>
      </c>
      <c r="AJ76" s="1370" t="str">
        <f ca="1">TEXT(Tab_NewTRADER[[#This Row],[L_Sn]],"#,#0")&amp;" ("&amp;Tab_NewTRADER[[#This Row],[M]]&amp;"/"&amp;TEXT(Tab_NewTRADER[[#This Row],[L_Sp]],"#,#0.#0)")</f>
        <v>10,000 (471.4/495.60)</v>
      </c>
      <c r="AK76" s="1370">
        <f ca="1">IF(Tab_NewTRADER[[#This Row],[M]]&lt;_xlfn.XLOOKUP(Tab_NewTRADER[[#This Row],[ClickTick]],TabCalc[Ticker],TabCalc[Max_Buy_P]), -Tab_NewTRADER[[#This Row],[Buy_Back]], 0)</f>
        <v>2413.7080000000046</v>
      </c>
      <c r="AL76" s="1177" t="str" cm="1">
        <f t="array" aca="1" ref="AL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6" s="1177">
        <f ca="1">Tab_NewTRADER[[#This Row],[N]]*(Tab_NewTRADER[[#This Row],[M]]-Tab_NewTRADER[[#This Row],[A]])*(1-Commission)*Tab_NewTRADER[[#This Row],[Scale]]</f>
        <v>3119.867199999986</v>
      </c>
      <c r="AN76" s="1177">
        <f ca="1">Tab_NewTRADER[[#This Row],[M]]*Tab_NewTRADER[[#This Row],[N]]*(1-Commission)*Tab_NewTRADER[[#This Row],[Scale]]</f>
        <v>141052.30799999999</v>
      </c>
      <c r="AO76" s="1186" cm="1">
        <f t="array" aca="1" ref="AO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4.882970137207434E-2</v>
      </c>
      <c r="AP76" s="1186" t="str" cm="1">
        <f t="array" aca="1" ref="AP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Tab_NewTRADER[[#This Row],[Trap_vs_Last]]=SellMorePercentGain,                     MIN(Tab_NewTRADER[[#This Row],[L_Sn]],Tab_NewTRADER[[#This Row],[N]])*(Tab_NewTRADER[[#This Row],[M]]-Tab_NewTRADER[[#This Row],[L_Sp]])*(1-Commission)*Tab_NewTRADER[[#This Row],[Scale]],                    TRUE,"")</f>
        <v/>
      </c>
      <c r="AR76" s="1175">
        <f ca="1">_xlfn.XLOOKUP(Tab_NewTRADER[[#This Row],[ClickTick]],TabCalc[Ticker],TabCalc[Ann%RevLB])</f>
        <v>0.3321524614368927</v>
      </c>
      <c r="AS76" s="1282">
        <f ca="1">_xlfn.XLOOKUP(Tab_NewTRADER[[#This Row],[ClickTick]],TabCalc[Ticker],TabCalc[Up20])</f>
        <v>0</v>
      </c>
      <c r="AT76" s="1187" t="str" cm="1">
        <f t="array" aca="1" ref="AT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6" s="825" t="str" cm="1">
        <f t="array" aca="1" ref="AU76" ca="1">_xlfn.IFS(         Tab_NewTRADER[[#This Row],[Trap_vs_Last]]=MDown,Tab_NewTRADER[[#This Row],[L_Bn]]*Tab_NewTRADER[[#This Row],[M]]*(-(Tab_NewTRADER[[#This Row],[L_Bp]]+Tab_NewTRADER[[#This Row],[M]])/Tab_NewTRADER[[#This Row],[M]])*(1-Commission)*Tab_NewTRADER[[#This Row],[Scale]],                               TRUE,"")</f>
        <v/>
      </c>
      <c r="AV76" s="1186" t="str" cm="1">
        <f t="array" aca="1" ref="AV76" ca="1">_xlfn.IFS(   Tab_NewTRADER[[#This Row],[Trap_vs_Last]]=MUp,Tab_NewTRADER[[#This Row],[TakeGain_A]]-Commission,        Tab_NewTRADER[[#This Row],[Trap_vs_Last]]=MDown,(Tab_NewTRADER[[#This Row],[A]]-Tab_NewTRADER[[#This Row],[M]])/Tab_NewTRADER[[#This Row],[M]]-Commission,                              TRUE,"")</f>
        <v/>
      </c>
      <c r="AW76" s="760" cm="1">
        <f t="array" aca="1" ref="AW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3119.867199999986</v>
      </c>
      <c r="AX76" s="760" t="str" cm="1">
        <f t="array" aca="1" ref="AX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Y76" s="736" t="str" cm="1">
        <f t="array" aca="1" ref="AY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6" s="765" cm="1">
        <f t="array" aca="1" ref="AZ76" ca="1">_xlfn.IFS(Tab_NewTRADER[[#This Row],[Trap_vs_Last]]=ReSaleGain,"",         Tab_NewTRADER[[#This Row],[Trap_vs_Last]]=MDown, (Tab_NewTRADER[[#This Row],[M]]-Tab_NewTRADER[[#This Row],[A]])/Tab_NewTRADER[[#This Row],[A]]*ComFactor,             TRUE, IFERROR((Tab_NewTRADER[[#This Row],[M]]-Tab_NewTRADER[[#This Row],[A]])/Tab_NewTRADER[[#This Row],[A]]*ComFactor,""))</f>
        <v>2.2559997686055488E-2</v>
      </c>
      <c r="BA76" s="762" cm="1">
        <f t="array" aca="1" ref="BA76" ca="1">_xlfn.IFS(               Tab_NewTRADER[[#This Row],[Trap_vs_Last]]=NoStock,(Tab_NewTRADER[[#This Row],[L_Sp]]-Tab_NewTRADER[[#This Row],[M]])/Tab_NewTRADER[[#This Row],[M]]-Commission,             Tab_NewTRADER[[#This Row],[A]]&lt;&gt;0,(Tab_NewTRADER[[#This Row],[A]]-Tab_NewTRADER[[#This Row],[M]])/Tab_NewTRADER[[#This Row],[M]]-Commission)</f>
        <v>-2.4718512233064531E-2</v>
      </c>
      <c r="BB76" s="324">
        <f ca="1">_xlfn.XLOOKUP(Tab_NewTRADER[[#This Row],[ClickTick]],TabCalc[Ticker],TabCalc[L_Sn])</f>
        <v>10000</v>
      </c>
      <c r="BC76" s="728">
        <f ca="1">_xlfn.XLOOKUP(Tab_NewTRADER[[#This Row],[ClickTick]],TabCalc[Ticker],TabCalc[L_Sp])</f>
        <v>495.6</v>
      </c>
      <c r="BD76" s="764">
        <f ca="1">-IFERROR((Tab_NewTRADER[[#This Row],[M]]-Tab_NewTRADER[[#This Row],[L_Sp]])/Tab_NewTRADER[[#This Row],[L_Sp]],0)</f>
        <v>4.882970137207434E-2</v>
      </c>
      <c r="BE76" s="729">
        <f ca="1">MIN(Tab_NewTRADER[[#This Row],[L_Sn]],Tab_NewTRADER[[#This Row],[N]])*(Tab_NewTRADER[[#This Row],[M]]-Tab_NewTRADER[[#This Row],[L_Sp]])*(1-Commission)*Tab_NewTRADER[[#This Row],[Scale]]</f>
        <v>-2413.7080000000046</v>
      </c>
      <c r="BF76" s="692">
        <f ca="1">Tab_NewTRADER[[#This Row],[L_Sn]]*(Tab_NewTRADER[[#This Row],[Agiotage]]-Tab_NewTRADER[[#This Row],[M]])/(Tab_NewTRADER[[#This Row],[L_Bn]]*Tab_NewTRADER[[#This Row],[M]])</f>
        <v>-0.49891428354468415</v>
      </c>
      <c r="BG76" s="635">
        <f ca="1">IFERROR((Tab_NewTRADER[[#This Row],[M]]-Tab_NewTRADER[[#This Row],[A]])/Tab_NewTRADER[[#This Row],[A]],0)</f>
        <v>2.2618806583171735E-2</v>
      </c>
      <c r="BH76" s="638" t="str">
        <f ca="1">TEXT(_xlfn.XLOOKUP(Tab_NewTRADER[[#This Row],[ClickTick]],TabCalc[Ticker],TabCalc[NAfter]),"#,#0")&amp;" : "&amp;TEXT(_xlfn.XLOOKUP(Tab_NewTRADER[[#This Row],[ClickTick]],TabCalc[Ticker],TabCalc[NAfter])*(Tab_NewTRADER[[#This Row],[M]]-Tab_NewTRADER[[#This Row],[A]])*(1-Commission)*Tab_NewTRADER[[#This Row],[Scale]],"#,#0$")</f>
        <v>30,000 : 3,120$</v>
      </c>
      <c r="BI76" s="684">
        <f ca="1">_xlfn.XLOOKUP(Tab_NewTRADER[[#This Row],[ClickTick]],TabCalc[[#This Row],[Ticker]],TabCalc[[#This Row],[GL]])*(1-Commission)</f>
        <v>33382.382552200004</v>
      </c>
      <c r="BJ76" s="684"/>
      <c r="BK76" s="669" t="str">
        <f ca="1">Tab_NewTRADER[[#This Row],[ClickTick]]&amp;": "&amp;_xlfn.XLOOKUP(Tab_NewTRADER[[#This Row],[ClickTick]],TabCalc[Ticker],TabCalc[Pile?])</f>
        <v xml:space="preserve">EZJ: </v>
      </c>
      <c r="BL76" s="351" t="s">
        <v>2009</v>
      </c>
      <c r="BM76" s="755" t="str" cm="1">
        <f t="array" aca="1" ref="BM76" ca="1">_xlfn.TEXTJOIN("",,INDEX({"M","A","Y"}, _xlfn.SORTBY({1,2,3}, -CHOOSE({1,2,3}, Tab_NewTRADER[[#This Row],[M]], Tab_NewTRADER[[#This Row],[A]], Tab_NewTRADER[[#This Row],[Agiotage]]))))</f>
        <v>MAY</v>
      </c>
      <c r="BN76" s="909" t="str" cm="1">
        <f t="array" aca="1" ref="BN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6" s="679">
        <f ca="1">Tab_NewTRADER[[#This Row],[L_Sn]]*Tab_NewTRADER[[#This Row],[L_Sp]]+Tab_NewTRADER[[#This Row],[SellMore]]*Tab_NewTRADER[[#This Row],[M]]</f>
        <v>14384000</v>
      </c>
      <c r="BP76" s="679">
        <f ca="1">INDEX(
  INDEX(TabConsolid[], , _xlfn.XMATCH(Tab_NewTRADER[[#This Row],[ClickTick]]&amp;1, TabConsolid[#Headers])),
  MATCH(
    -Tab_NewTRADER[[#This Row],[M]],
    INDEX(TabConsolid[], , _xlfn.XMATCH(Tab_NewTRADER[[#This Row],[ClickTick]]&amp;2, TabConsolid[#Headers])),
    -1
  )
)</f>
        <v>20000</v>
      </c>
      <c r="BQ76" s="679" cm="1">
        <f t="array" aca="1" ref="BQ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76" s="1156">
        <f ca="1">Tab_NewTRADER[[#This Row],[ReBuy]]/(Tab_NewTRADER[[#This Row],[L_Sn]]+Tab_NewTRADER[[#This Row],[SellMore]])</f>
        <v>479.46666666666664</v>
      </c>
      <c r="BS76" s="687">
        <f ca="1">((_xlfn.XLOOKUP(Tab_NewTRADER[[#This Row],[ClickTick]],TabCalc[Ticker],TabCalc[NAfter])+Tab_NewTRADER[[#This Row],[L_Sn]])*(Tab_NewTRADER[[#This Row],[Agiotage]]-Tab_NewTRADER[[#This Row],[M]]))/(Tab_NewTRADER[[#This Row],[L_Sn]]*_xlfn.XLOOKUP(Tab_NewTRADER[[#This Row],[ClickTick]],TabCalc[Ticker],TabCalc[NAfter]))</f>
        <v>-6.2716851536790436E-2</v>
      </c>
      <c r="BT76" s="687">
        <f ca="1">(Tab_NewTRADER[[#This Row],[M]]-Tab_NewTRADER[[#This Row],[Agiotage]])/(Tab_NewTRADER[[#This Row],[M]]-Tab_NewTRADER[[#This Row],[A]])-1</f>
        <v>44.112824794686418</v>
      </c>
      <c r="BU76" s="1277">
        <f ca="1">_xlfn.XMATCH(Tab_NewTRADER[[#This Row],[ClickTick]]&amp;1, TabConsolid[#Headers])</f>
        <v>224</v>
      </c>
      <c r="BV76" t="b">
        <f ca="1">IF(ABS(Tab_NewTRADER[[#This Row],[L_Bp]])&gt;=Tab_NewTRADER[[#This Row],[M]],"OK")</f>
        <v>0</v>
      </c>
    </row>
    <row r="77" spans="1:74"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30.1%</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3,555$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-9.0% = 0</v>
      </c>
      <c r="I77" s="226" t="str">
        <f ca="1">IFERROR(TRUNC(TabCalc[[#This Row],[L_S1p]],2)&amp;"x"&amp;TabCalc[[#This Row],[L_S1n]]&amp;"=   "&amp;TEXT(TabCalc[[#This Row],[ReverseB1]],"#,#0"),"")</f>
        <v>11.41x2000=   -3,590</v>
      </c>
      <c r="J77" s="295">
        <f ca="1">_xlfn.XLOOKUP(Tab_NewTRADER[[#This Row],[ClickTick]],TabCalc[Ticker],ListGravity)</f>
        <v>0.92881484286255211</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0.50174709695241093</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0.42988630211153234</v>
      </c>
      <c r="S77" s="683">
        <f ca="1">_xlfn.XLOOKUP(Tab_NewTRADER[[#This Row],[ClickTick]],TabCalc[Ticker],TabCalc[Rev(MinStock)])*(1-Commission)</f>
        <v>0</v>
      </c>
      <c r="T77" s="782">
        <f ca="1">_xlfn.XLOOKUP(Tab_NewTRADER[[#This Row],[ClickTick]],TabCalc[Ticker],TabCalc[Agiotage])</f>
        <v>0.50174709695241093</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1.8%</v>
      </c>
      <c r="V77" s="739" t="str">
        <f ca="1">_xlfn.XLOOKUP(Tab_NewTRADER[[#This Row],[ClickTick]],[1]!RTData[Ticker_Symbol],[1]!RTData[Currency])</f>
        <v>USD</v>
      </c>
      <c r="W77" s="749">
        <f ca="1">_xlfn.XLOOKUP(Tab_NewTRADER[[#This Row],[ClickTick]],TabCalc[Ticker],TabCalc[M])</f>
        <v>13.205</v>
      </c>
      <c r="X77" s="1343"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E77" s="1195" t="str" cm="1">
        <f t="array" aca="1" ref="AE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7" s="1177" t="str" cm="1">
        <f t="array" aca="1" ref="AF77" ca="1">_xlfn.IFS(       Tab_NewTRADER[[#This Row],[Trap_vs_Last]]=RePurchaseGain,TEXT(Tab_NewTRADER[[#This Row],[L_Sn]],"#,#0")&amp;" x "&amp;TEXT(Tab_NewTRADER[[#This Row],[L_Sp]],"#,#0.#0"),     Tab_NewTRADER[[#This Row],[Trap_vs_Last]]=ReSaleGain,Tab_NewTRADER[[#This Row],[ToSell]],               TRUE,"")</f>
        <v/>
      </c>
      <c r="AG77" s="1177" t="str" cm="1">
        <f t="array" aca="1" ref="AG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7" s="1370" t="str">
        <f ca="1">TEXT(MIN(Tab_NewTRADER[[#This Row],[L_Bn]],Tab_NewTRADER[[#This Row],[N]]),"#,#0")&amp;" x "&amp;TEXT(Tab_NewTRADER[[#This Row],[L_Bp]],"#,#0.#0")</f>
        <v>0 x -9.24</v>
      </c>
      <c r="AI77" s="1370">
        <f ca="1">IF(Tab_NewTRADER[[#This Row],[M]]&lt;_xlfn.XLOOKUP(Tab_NewTRADER[[#This Row],[ClickTick]],TabCalc[Ticker],TabCalc[Max_Buy_P]), 0,Tab_NewTRADER[[#This Row],[Sale_Back_$]])</f>
        <v>0</v>
      </c>
      <c r="AJ77" s="1370" t="str">
        <f ca="1">TEXT(Tab_NewTRADER[[#This Row],[L_Sn]],"#,#0")&amp;" ("&amp;Tab_NewTRADER[[#This Row],[M]]&amp;"/"&amp;TEXT(Tab_NewTRADER[[#This Row],[L_Sp]],"#,#0.#0)")</f>
        <v>3,000 (13.205/12.02)</v>
      </c>
      <c r="AK77" s="1370">
        <f ca="1">IF(Tab_NewTRADER[[#This Row],[M]]&lt;_xlfn.XLOOKUP(Tab_NewTRADER[[#This Row],[ClickTick]],TabCalc[Ticker],TabCalc[Max_Buy_P]), -Tab_NewTRADER[[#This Row],[Buy_Back]], 0)</f>
        <v>0</v>
      </c>
      <c r="AL77" s="1177" t="str" cm="1">
        <f t="array" aca="1" ref="AL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7" s="1177">
        <f ca="1">Tab_NewTRADER[[#This Row],[N]]*(Tab_NewTRADER[[#This Row],[M]]-Tab_NewTRADER[[#This Row],[A]])*(1-Commission)*Tab_NewTRADER[[#This Row],[Scale]]</f>
        <v>0</v>
      </c>
      <c r="AN77" s="1177">
        <f ca="1">Tab_NewTRADER[[#This Row],[M]]*Tab_NewTRADER[[#This Row],[N]]*(1-Commission)*Tab_NewTRADER[[#This Row],[Scale]]</f>
        <v>0</v>
      </c>
      <c r="AO77" s="1186" t="str" cm="1">
        <f t="array" aca="1" ref="AO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7" s="1186" t="str" cm="1">
        <f t="array" aca="1" ref="AP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Tab_NewTRADER[[#This Row],[Trap_vs_Last]]=SellMorePercentGain,                     MIN(Tab_NewTRADER[[#This Row],[L_Sn]],Tab_NewTRADER[[#This Row],[N]])*(Tab_NewTRADER[[#This Row],[M]]-Tab_NewTRADER[[#This Row],[L_Sp]])*(1-Commission)*Tab_NewTRADER[[#This Row],[Scale]],                    TRUE,"")</f>
        <v/>
      </c>
      <c r="AR77" s="1175">
        <f ca="1">_xlfn.XLOOKUP(Tab_NewTRADER[[#This Row],[ClickTick]],TabCalc[Ticker],TabCalc[Ann%RevLB])</f>
        <v>0.59068346855019715</v>
      </c>
      <c r="AS77" s="1282">
        <f ca="1">_xlfn.XLOOKUP(Tab_NewTRADER[[#This Row],[ClickTick]],TabCalc[Ticker],TabCalc[Up20])</f>
        <v>0.25</v>
      </c>
      <c r="AT77" s="1187" t="str" cm="1">
        <f t="array" aca="1" ref="AT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77" s="825" t="str" cm="1">
        <f t="array" aca="1" ref="AU77" ca="1">_xlfn.IFS(         Tab_NewTRADER[[#This Row],[Trap_vs_Last]]=MDown,Tab_NewTRADER[[#This Row],[L_Bn]]*Tab_NewTRADER[[#This Row],[M]]*(-(Tab_NewTRADER[[#This Row],[L_Bp]]+Tab_NewTRADER[[#This Row],[M]])/Tab_NewTRADER[[#This Row],[M]])*(1-Commission)*Tab_NewTRADER[[#This Row],[Scale]],                               TRUE,"")</f>
        <v/>
      </c>
      <c r="AV77" s="1186" t="str" cm="1">
        <f t="array" aca="1" ref="AV77" ca="1">_xlfn.IFS(   Tab_NewTRADER[[#This Row],[Trap_vs_Last]]=MUp,Tab_NewTRADER[[#This Row],[TakeGain_A]]-Commission,        Tab_NewTRADER[[#This Row],[Trap_vs_Last]]=MDown,(Tab_NewTRADER[[#This Row],[A]]-Tab_NewTRADER[[#This Row],[M]])/Tab_NewTRADER[[#This Row],[M]]-Commission,                              TRUE,"")</f>
        <v/>
      </c>
      <c r="AW77" s="825" cm="1">
        <f t="array" aca="1" ref="AW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7" s="760" t="str" cm="1">
        <f t="array" aca="1" ref="AX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-0.8%</v>
      </c>
      <c r="AY77" s="736" t="str" cm="1">
        <f t="array" aca="1" ref="AY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v>
      </c>
      <c r="AZ77" s="765" t="str" cm="1">
        <f t="array" aca="1" ref="AZ77" ca="1">_xlfn.IFS(Tab_NewTRADER[[#This Row],[Trap_vs_Last]]=ReSaleGain,"",         Tab_NewTRADER[[#This Row],[Trap_vs_Last]]=MDown, (Tab_NewTRADER[[#This Row],[M]]-Tab_NewTRADER[[#This Row],[A]])/Tab_NewTRADER[[#This Row],[A]]*ComFactor,             TRUE, IFERROR((Tab_NewTRADER[[#This Row],[M]]-Tab_NewTRADER[[#This Row],[A]])/Tab_NewTRADER[[#This Row],[A]]*ComFactor,""))</f>
        <v/>
      </c>
      <c r="BA77" s="762" cm="1">
        <f t="array" aca="1" ref="BA77" ca="1">_xlfn.IFS(               Tab_NewTRADER[[#This Row],[Trap_vs_Last]]=NoStock,(Tab_NewTRADER[[#This Row],[L_Sp]]-Tab_NewTRADER[[#This Row],[M]])/Tab_NewTRADER[[#This Row],[M]]-Commission,             Tab_NewTRADER[[#This Row],[A]]&lt;&gt;0,(Tab_NewTRADER[[#This Row],[A]]-Tab_NewTRADER[[#This Row],[M]])/Tab_NewTRADER[[#This Row],[M]]-Commission)</f>
        <v>-9.2338735327527496E-2</v>
      </c>
      <c r="BB77" s="324">
        <f ca="1">_xlfn.XLOOKUP(Tab_NewTRADER[[#This Row],[ClickTick]],TabCalc[Ticker],TabCalc[L_Sn])</f>
        <v>3000</v>
      </c>
      <c r="BC77" s="728">
        <f ca="1">_xlfn.XLOOKUP(Tab_NewTRADER[[#This Row],[ClickTick]],TabCalc[Ticker],TabCalc[L_Sp])</f>
        <v>12.02</v>
      </c>
      <c r="BD77" s="764">
        <f ca="1">-IFERROR((Tab_NewTRADER[[#This Row],[M]]-Tab_NewTRADER[[#This Row],[L_Sp]])/Tab_NewTRADER[[#This Row],[L_Sp]],0)</f>
        <v>-9.858569051580704E-2</v>
      </c>
      <c r="BE77" s="729">
        <f ca="1">MIN(Tab_NewTRADER[[#This Row],[L_Sn]],Tab_NewTRADER[[#This Row],[N]])*(Tab_NewTRADER[[#This Row],[M]]-Tab_NewTRADER[[#This Row],[L_Sp]])*(1-Commission)*Tab_NewTRADER[[#This Row],[Scale]]</f>
        <v>0</v>
      </c>
      <c r="BF77" s="692">
        <f ca="1">Tab_NewTRADER[[#This Row],[L_Sn]]*(Tab_NewTRADER[[#This Row],[Agiotage]]-Tab_NewTRADER[[#This Row],[M]])/(Tab_NewTRADER[[#This Row],[L_Bn]]*Tab_NewTRADER[[#This Row],[M]])</f>
        <v>-0.28860097470005885</v>
      </c>
      <c r="BG77" s="635">
        <f ca="1">IFERROR((Tab_NewTRADER[[#This Row],[M]]-Tab_NewTRADER[[#This Row],[A]])/Tab_NewTRADER[[#This Row],[A]],0)</f>
        <v>0</v>
      </c>
      <c r="BH77" s="638" t="str">
        <f ca="1">TEXT(_xlfn.XLOOKUP(Tab_NewTRADER[[#This Row],[ClickTick]],TabCalc[Ticker],TabCalc[NAfter]),"#,#0")&amp;" : "&amp;TEXT(_xlfn.XLOOKUP(Tab_NewTRADER[[#This Row],[ClickTick]],TabCalc[Ticker],TabCalc[NAfter])*(Tab_NewTRADER[[#This Row],[M]]-Tab_NewTRADER[[#This Row],[A]])*(1-Commission)*Tab_NewTRADER[[#This Row],[Scale]],"#,#0$")</f>
        <v>0 : 0$</v>
      </c>
      <c r="BI77" s="684">
        <f ca="1">_xlfn.XLOOKUP(Tab_NewTRADER[[#This Row],[ClickTick]],TabCalc[[#This Row],[Ticker]],TabCalc[[#This Row],[GL]])*(1-Commission)</f>
        <v>-12587.188</v>
      </c>
      <c r="BJ77" s="684"/>
      <c r="BK77" s="669" t="str">
        <f ca="1">Tab_NewTRADER[[#This Row],[ClickTick]]&amp;": "&amp;_xlfn.XLOOKUP(Tab_NewTRADER[[#This Row],[ClickTick]],TabCalc[Ticker],TabCalc[Pile?])</f>
        <v>F: Pile</v>
      </c>
      <c r="BL77" s="351" t="s">
        <v>2014</v>
      </c>
      <c r="BM77" s="755" t="str" cm="1">
        <f t="array" aca="1" ref="BM77" ca="1">_xlfn.TEXTJOIN("",,INDEX({"M","A","Y"}, _xlfn.SORTBY({1,2,3}, -CHOOSE({1,2,3}, Tab_NewTRADER[[#This Row],[M]], Tab_NewTRADER[[#This Row],[A]], Tab_NewTRADER[[#This Row],[Agiotage]]))))</f>
        <v>MYA</v>
      </c>
      <c r="BN77" s="909" t="str" cm="1">
        <f t="array" aca="1" ref="BN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O77" s="679" t="e">
        <f ca="1">Tab_NewTRADER[[#This Row],[L_Sn]]*Tab_NewTRADER[[#This Row],[L_Sp]]+Tab_NewTRADER[[#This Row],[SellMore]]*Tab_NewTRADER[[#This Row],[M]]</f>
        <v>#N/A</v>
      </c>
      <c r="BP77" s="679" t="e">
        <f ca="1">INDEX(
  INDEX(TabConsolid[], , _xlfn.XMATCH(Tab_NewTRADER[[#This Row],[ClickTick]]&amp;1, TabConsolid[#Headers])),
  MATCH(
    -Tab_NewTRADER[[#This Row],[M]],
    INDEX(TabConsolid[], , _xlfn.XMATCH(Tab_NewTRADER[[#This Row],[ClickTick]]&amp;2, TabConsolid[#Headers])),
    -1
  )
)</f>
        <v>#N/A</v>
      </c>
      <c r="BQ77" s="679" cm="1">
        <f t="array" aca="1" ref="BQ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7" s="1156" t="e">
        <f ca="1">Tab_NewTRADER[[#This Row],[ReBuy]]/(Tab_NewTRADER[[#This Row],[L_Sn]]+Tab_NewTRADER[[#This Row],[SellMore]])</f>
        <v>#N/A</v>
      </c>
      <c r="BS77" s="687" t="e">
        <f ca="1">((_xlfn.XLOOKUP(Tab_NewTRADER[[#This Row],[ClickTick]],TabCalc[Ticker],TabCalc[NAfter])+Tab_NewTRADER[[#This Row],[L_Sn]])*(Tab_NewTRADER[[#This Row],[Agiotage]]-Tab_NewTRADER[[#This Row],[M]]))/(Tab_NewTRADER[[#This Row],[L_Sn]]*_xlfn.XLOOKUP(Tab_NewTRADER[[#This Row],[ClickTick]],TabCalc[Ticker],TabCalc[NAfter]))</f>
        <v>#DIV/0!</v>
      </c>
      <c r="BT77" s="687">
        <f ca="1">(Tab_NewTRADER[[#This Row],[M]]-Tab_NewTRADER[[#This Row],[Agiotage]])/(Tab_NewTRADER[[#This Row],[M]]-Tab_NewTRADER[[#This Row],[A]])-1</f>
        <v>-3.799675099980393E-2</v>
      </c>
      <c r="BU77" s="1277">
        <f ca="1">_xlfn.XMATCH(Tab_NewTRADER[[#This Row],[ClickTick]]&amp;1, TabConsolid[#Headers])</f>
        <v>227</v>
      </c>
      <c r="BV77" t="b">
        <f ca="1">IF(ABS(Tab_NewTRADER[[#This Row],[L_Bp]])&gt;=Tab_NewTRADER[[#This Row],[M]],"OK")</f>
        <v>0</v>
      </c>
    </row>
    <row r="78" spans="1:74"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47.0%</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47,080$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43.1% = 0</v>
      </c>
      <c r="I78" s="226" t="str">
        <f ca="1">IFERROR(TRUNC(TabCalc[[#This Row],[L_S1p]],2)&amp;"x"&amp;TabCalc[[#This Row],[L_S1n]]&amp;"=   "&amp;TEXT(TabCalc[[#This Row],[ReverseB1]],"#,#0"),"")</f>
        <v>23.05x2000=   -63,162</v>
      </c>
      <c r="J78" s="295">
        <f ca="1">_xlfn.XLOOKUP(Tab_NewTRADER[[#This Row],[ClickTick]],TabCalc[Ticker],ListGravity)</f>
        <v>1.1838599926793558</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0.71645315441424917</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0.8880442294402211</v>
      </c>
      <c r="S78" s="683">
        <f ca="1">_xlfn.XLOOKUP(Tab_NewTRADER[[#This Row],[ClickTick]],TabCalc[Ticker],TabCalc[Rev(MinStock)])*(1-Commission)</f>
        <v>0</v>
      </c>
      <c r="T78" s="782">
        <f ca="1">_xlfn.XLOOKUP(Tab_NewTRADER[[#This Row],[ClickTick]],TabCalc[Ticker],TabCalc[Agiotage])</f>
        <v>0.71645315441424917</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-2.1%</v>
      </c>
      <c r="V78" s="739" t="str">
        <f ca="1">_xlfn.XLOOKUP(Tab_NewTRADER[[#This Row],[ClickTick]],[1]!RTData[Ticker_Symbol],[1]!RTData[Currency])</f>
        <v>EUR</v>
      </c>
      <c r="W78" s="749">
        <f ca="1">_xlfn.XLOOKUP(Tab_NewTRADER[[#This Row],[ClickTick]],TabCalc[Ticker],TabCalc[M])</f>
        <v>54.64</v>
      </c>
      <c r="X78" s="1343"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E78" s="1173" t="str" cm="1">
        <f t="array" aca="1" ref="AE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8" s="1177" t="str" cm="1">
        <f t="array" aca="1" ref="AF78" ca="1">_xlfn.IFS(       Tab_NewTRADER[[#This Row],[Trap_vs_Last]]=RePurchaseGain,TEXT(Tab_NewTRADER[[#This Row],[L_Sn]],"#,#0")&amp;" x "&amp;TEXT(Tab_NewTRADER[[#This Row],[L_Sp]],"#,#0.#0"),     Tab_NewTRADER[[#This Row],[Trap_vs_Last]]=ReSaleGain,Tab_NewTRADER[[#This Row],[ToSell]],               TRUE,"")</f>
        <v/>
      </c>
      <c r="AG78" s="1177" t="str" cm="1">
        <f t="array" aca="1" ref="AG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8" s="1370" t="str">
        <f ca="1">TEXT(MIN(Tab_NewTRADER[[#This Row],[L_Bn]],Tab_NewTRADER[[#This Row],[N]]),"#,#0")&amp;" x "&amp;TEXT(Tab_NewTRADER[[#This Row],[L_Bp]],"#,#0.#0")</f>
        <v>0 x -28.94</v>
      </c>
      <c r="AI78" s="1370">
        <f ca="1">IF(Tab_NewTRADER[[#This Row],[M]]&lt;_xlfn.XLOOKUP(Tab_NewTRADER[[#This Row],[ClickTick]],TabCalc[Ticker],TabCalc[Max_Buy_P]), 0,Tab_NewTRADER[[#This Row],[Sale_Back_$]])</f>
        <v>0</v>
      </c>
      <c r="AJ78" s="1370" t="str">
        <f ca="1">TEXT(Tab_NewTRADER[[#This Row],[L_Sn]],"#,#0")&amp;" ("&amp;Tab_NewTRADER[[#This Row],[M]]&amp;"/"&amp;TEXT(Tab_NewTRADER[[#This Row],[L_Sp]],"#,#0.#0)")</f>
        <v>2,000 (54.64/31.10)</v>
      </c>
      <c r="AK78" s="1370">
        <f ca="1">IF(Tab_NewTRADER[[#This Row],[M]]&lt;_xlfn.XLOOKUP(Tab_NewTRADER[[#This Row],[ClickTick]],TabCalc[Ticker],TabCalc[Max_Buy_P]), -Tab_NewTRADER[[#This Row],[Buy_Back]], 0)</f>
        <v>0</v>
      </c>
      <c r="AL78" s="1177" t="str" cm="1">
        <f t="array" aca="1" ref="AL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8" s="1177">
        <f ca="1">Tab_NewTRADER[[#This Row],[N]]*(Tab_NewTRADER[[#This Row],[M]]-Tab_NewTRADER[[#This Row],[A]])*(1-Commission)*Tab_NewTRADER[[#This Row],[Scale]]</f>
        <v>0</v>
      </c>
      <c r="AN78" s="1177">
        <f ca="1">Tab_NewTRADER[[#This Row],[M]]*Tab_NewTRADER[[#This Row],[N]]*(1-Commission)*Tab_NewTRADER[[#This Row],[Scale]]</f>
        <v>0</v>
      </c>
      <c r="AO78" s="1186" t="str" cm="1">
        <f t="array" aca="1" ref="AO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8" s="1186" t="str" cm="1">
        <f t="array" aca="1" ref="AP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Tab_NewTRADER[[#This Row],[Trap_vs_Last]]=SellMorePercentGain,                     MIN(Tab_NewTRADER[[#This Row],[L_Sn]],Tab_NewTRADER[[#This Row],[N]])*(Tab_NewTRADER[[#This Row],[M]]-Tab_NewTRADER[[#This Row],[L_Sp]])*(1-Commission)*Tab_NewTRADER[[#This Row],[Scale]],                    TRUE,"")</f>
        <v/>
      </c>
      <c r="AR78" s="1175">
        <f ca="1">_xlfn.XLOOKUP(Tab_NewTRADER[[#This Row],[ClickTick]],TabCalc[Ticker],TabCalc[Ann%RevLB])</f>
        <v>1.08740109727374</v>
      </c>
      <c r="AS78" s="1282">
        <f ca="1">_xlfn.XLOOKUP(Tab_NewTRADER[[#This Row],[ClickTick]],TabCalc[Ticker],TabCalc[Up20])</f>
        <v>0.38095238095238093</v>
      </c>
      <c r="AT78" s="1187" t="str" cm="1">
        <f t="array" aca="1" ref="AT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8" s="825" t="str" cm="1">
        <f t="array" aca="1" ref="AU78" ca="1">_xlfn.IFS(         Tab_NewTRADER[[#This Row],[Trap_vs_Last]]=MDown,Tab_NewTRADER[[#This Row],[L_Bn]]*Tab_NewTRADER[[#This Row],[M]]*(-(Tab_NewTRADER[[#This Row],[L_Bp]]+Tab_NewTRADER[[#This Row],[M]])/Tab_NewTRADER[[#This Row],[M]])*(1-Commission)*Tab_NewTRADER[[#This Row],[Scale]],                               TRUE,"")</f>
        <v/>
      </c>
      <c r="AV78" s="1186" t="str" cm="1">
        <f t="array" aca="1" ref="AV78" ca="1">_xlfn.IFS(   Tab_NewTRADER[[#This Row],[Trap_vs_Last]]=MUp,Tab_NewTRADER[[#This Row],[TakeGain_A]]-Commission,        Tab_NewTRADER[[#This Row],[Trap_vs_Last]]=MDown,(Tab_NewTRADER[[#This Row],[A]]-Tab_NewTRADER[[#This Row],[M]])/Tab_NewTRADER[[#This Row],[M]]-Commission,                              TRUE,"")</f>
        <v/>
      </c>
      <c r="AW78" s="825" cm="1">
        <f t="array" aca="1" ref="AW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8" s="760" t="str" cm="1">
        <f t="array" aca="1" ref="AX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Y78" s="736" t="str" cm="1">
        <f t="array" aca="1" ref="AY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0x54.64</v>
      </c>
      <c r="AZ78" s="765" t="str" cm="1">
        <f t="array" aca="1" ref="AZ78" ca="1">_xlfn.IFS(Tab_NewTRADER[[#This Row],[Trap_vs_Last]]=ReSaleGain,"",         Tab_NewTRADER[[#This Row],[Trap_vs_Last]]=MDown, (Tab_NewTRADER[[#This Row],[M]]-Tab_NewTRADER[[#This Row],[A]])/Tab_NewTRADER[[#This Row],[A]]*ComFactor,             TRUE, IFERROR((Tab_NewTRADER[[#This Row],[M]]-Tab_NewTRADER[[#This Row],[A]])/Tab_NewTRADER[[#This Row],[A]]*ComFactor,""))</f>
        <v/>
      </c>
      <c r="BA78" s="762" cm="1">
        <f t="array" aca="1" ref="BA78" ca="1">_xlfn.IFS(               Tab_NewTRADER[[#This Row],[Trap_vs_Last]]=NoStock,(Tab_NewTRADER[[#This Row],[L_Sp]]-Tab_NewTRADER[[#This Row],[M]])/Tab_NewTRADER[[#This Row],[M]]-Commission,             Tab_NewTRADER[[#This Row],[A]]&lt;&gt;0,(Tab_NewTRADER[[#This Row],[A]]-Tab_NewTRADER[[#This Row],[M]])/Tab_NewTRADER[[#This Row],[M]]-Commission)</f>
        <v>-0.43341991215226938</v>
      </c>
      <c r="BB78" s="324">
        <f ca="1">_xlfn.XLOOKUP(Tab_NewTRADER[[#This Row],[ClickTick]],TabCalc[Ticker],TabCalc[L_Sn])</f>
        <v>2000</v>
      </c>
      <c r="BC78" s="728">
        <f ca="1">_xlfn.XLOOKUP(Tab_NewTRADER[[#This Row],[ClickTick]],TabCalc[Ticker],TabCalc[L_Sp])</f>
        <v>31.1</v>
      </c>
      <c r="BD78" s="764">
        <f ca="1">-IFERROR((Tab_NewTRADER[[#This Row],[M]]-Tab_NewTRADER[[#This Row],[L_Sp]])/Tab_NewTRADER[[#This Row],[L_Sp]],0)</f>
        <v>-0.75691318327974266</v>
      </c>
      <c r="BE78" s="729">
        <f ca="1">MIN(Tab_NewTRADER[[#This Row],[L_Sn]],Tab_NewTRADER[[#This Row],[N]])*(Tab_NewTRADER[[#This Row],[M]]-Tab_NewTRADER[[#This Row],[L_Sp]])*(1-Commission)*Tab_NewTRADER[[#This Row],[Scale]]</f>
        <v>0</v>
      </c>
      <c r="BF78" s="692">
        <f ca="1">Tab_NewTRADER[[#This Row],[L_Sn]]*(Tab_NewTRADER[[#This Row],[Agiotage]]-Tab_NewTRADER[[#This Row],[M]])/(Tab_NewTRADER[[#This Row],[L_Bn]]*Tab_NewTRADER[[#This Row],[M]])</f>
        <v>-0.98688775339651824</v>
      </c>
      <c r="BG78" s="635">
        <f ca="1">IFERROR((Tab_NewTRADER[[#This Row],[M]]-Tab_NewTRADER[[#This Row],[A]])/Tab_NewTRADER[[#This Row],[A]],0)</f>
        <v>0</v>
      </c>
      <c r="BH78" s="638" t="str">
        <f ca="1">TEXT(_xlfn.XLOOKUP(Tab_NewTRADER[[#This Row],[ClickTick]],TabCalc[Ticker],TabCalc[NAfter]),"#,#0")&amp;" : "&amp;TEXT(_xlfn.XLOOKUP(Tab_NewTRADER[[#This Row],[ClickTick]],TabCalc[Ticker],TabCalc[NAfter])*(Tab_NewTRADER[[#This Row],[M]]-Tab_NewTRADER[[#This Row],[A]])*(1-Commission)*Tab_NewTRADER[[#This Row],[Scale]],"#,#0$")</f>
        <v>0 : 0$</v>
      </c>
      <c r="BI78" s="684">
        <f ca="1">_xlfn.XLOOKUP(Tab_NewTRADER[[#This Row],[ClickTick]],TabCalc[[#This Row],[Ticker]],TabCalc[[#This Row],[GL]])*(1-Commission)</f>
        <v>43360.049991999993</v>
      </c>
      <c r="BJ78" s="684"/>
      <c r="BK78" s="669" t="str">
        <f ca="1">Tab_NewTRADER[[#This Row],[ClickTick]]&amp;": "&amp;_xlfn.XLOOKUP(Tab_NewTRADER[[#This Row],[ClickTick]],TabCalc[Ticker],TabCalc[Pile?])</f>
        <v>GLE: Pile</v>
      </c>
      <c r="BL78" s="351" t="s">
        <v>2015</v>
      </c>
      <c r="BM78" s="755" t="str" cm="1">
        <f t="array" aca="1" ref="BM78" ca="1">_xlfn.TEXTJOIN("",,INDEX({"M","A","Y"}, _xlfn.SORTBY({1,2,3}, -CHOOSE({1,2,3}, Tab_NewTRADER[[#This Row],[M]], Tab_NewTRADER[[#This Row],[A]], Tab_NewTRADER[[#This Row],[Agiotage]]))))</f>
        <v>MYA</v>
      </c>
      <c r="BN78" s="909" t="str" cm="1">
        <f t="array" aca="1" ref="BN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8" s="679" t="e">
        <f ca="1">Tab_NewTRADER[[#This Row],[L_Sn]]*Tab_NewTRADER[[#This Row],[L_Sp]]+Tab_NewTRADER[[#This Row],[SellMore]]*Tab_NewTRADER[[#This Row],[M]]</f>
        <v>#N/A</v>
      </c>
      <c r="BP78" s="679" t="e">
        <f ca="1">INDEX(
  INDEX(TabConsolid[], , _xlfn.XMATCH(Tab_NewTRADER[[#This Row],[ClickTick]]&amp;1, TabConsolid[#Headers])),
  MATCH(
    -Tab_NewTRADER[[#This Row],[M]],
    INDEX(TabConsolid[], , _xlfn.XMATCH(Tab_NewTRADER[[#This Row],[ClickTick]]&amp;2, TabConsolid[#Headers])),
    -1
  )
)</f>
        <v>#N/A</v>
      </c>
      <c r="BQ78" s="679" cm="1">
        <f t="array" aca="1" ref="BQ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8" s="1156" t="e">
        <f ca="1">Tab_NewTRADER[[#This Row],[ReBuy]]/(Tab_NewTRADER[[#This Row],[L_Sn]]+Tab_NewTRADER[[#This Row],[SellMore]])</f>
        <v>#N/A</v>
      </c>
      <c r="BS78" s="687" t="e">
        <f ca="1">((_xlfn.XLOOKUP(Tab_NewTRADER[[#This Row],[ClickTick]],TabCalc[Ticker],TabCalc[NAfter])+Tab_NewTRADER[[#This Row],[L_Sn]])*(Tab_NewTRADER[[#This Row],[Agiotage]]-Tab_NewTRADER[[#This Row],[M]]))/(Tab_NewTRADER[[#This Row],[L_Sn]]*_xlfn.XLOOKUP(Tab_NewTRADER[[#This Row],[ClickTick]],TabCalc[Ticker],TabCalc[NAfter]))</f>
        <v>#DIV/0!</v>
      </c>
      <c r="BT78" s="687">
        <f ca="1">(Tab_NewTRADER[[#This Row],[M]]-Tab_NewTRADER[[#This Row],[Agiotage]])/(Tab_NewTRADER[[#This Row],[M]]-Tab_NewTRADER[[#This Row],[A]])-1</f>
        <v>-1.3112246603481759E-2</v>
      </c>
      <c r="BU78" s="1277">
        <f ca="1">_xlfn.XMATCH(Tab_NewTRADER[[#This Row],[ClickTick]]&amp;1, TabConsolid[#Headers])</f>
        <v>230</v>
      </c>
      <c r="BV78" t="b">
        <f ca="1">IF(ABS(Tab_NewTRADER[[#This Row],[L_Bp]])&gt;=Tab_NewTRADER[[#This Row],[M]],"OK")</f>
        <v>0</v>
      </c>
    </row>
    <row r="79" spans="1:74"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-8,562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-18.5%</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-2,416$</v>
      </c>
      <c r="G79" s="225" t="str">
        <f ca="1">IFERROR(TRUNC(_xlfn.XLOOKUP(Tab_NewTRADER[[#This Row],[ClickTick]],TabCalc[Ticker],ListLastSalep),2)&amp;"x"&amp;_xlfn.XLOOKUP(Tab_NewTRADER[[#This Row],[ClickTick]],TabCalc[Ticker],ListLastSalen)&amp;"=   "&amp;TEXT(-_xlfn.XLOOKUP(Tab_NewTRADER[[#This Row],[ClickTick]],TabCalc[Ticker],ListReverseB),"#,#0")&amp;"$","")</f>
        <v>192.01x200=   -7,478$</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24.2% = 134</v>
      </c>
      <c r="I79" s="226" t="str">
        <f ca="1">IFERROR(TRUNC(TabCalc[[#This Row],[L_S1p]],2)&amp;"x"&amp;TabCalc[[#This Row],[L_S1n]]&amp;"=   "&amp;TEXT(TabCalc[[#This Row],[ReverseB1]],"#,#0"),"")</f>
        <v>189.91x600=   21,174</v>
      </c>
      <c r="J79" s="295">
        <f ca="1">_xlfn.XLOOKUP(Tab_NewTRADER[[#This Row],[ClickTick]],TabCalc[Ticker],ListGravity)</f>
        <v>1.341809597723451</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54117</v>
      </c>
      <c r="M79" s="323">
        <f ca="1">_xlfn.XLOOKUP(Tab_NewTRADER[[#This Row],[ClickTick]],TabCalc[Ticker],TabCalc[Agiotage])</f>
        <v>0.73573772972622398</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-0.15582004804542474</v>
      </c>
      <c r="S79" s="683">
        <f ca="1">_xlfn.XLOOKUP(Tab_NewTRADER[[#This Row],[ClickTick]],TabCalc[Ticker],TabCalc[Rev(MinStock)])*(1-Commission)</f>
        <v>-8539.7387999999974</v>
      </c>
      <c r="T79" s="782">
        <f ca="1">_xlfn.XLOOKUP(Tab_NewTRADER[[#This Row],[ClickTick]],TabCalc[Ticker],TabCalc[Agiotage])</f>
        <v>0.73573772972622398</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2,106/2,106=&gt;0.5% / 0.5%</v>
      </c>
      <c r="V79" s="739" t="str">
        <f ca="1">_xlfn.XLOOKUP(Tab_NewTRADER[[#This Row],[ClickTick]],[1]!RTData[Ticker_Symbol],[1]!RTData[Currency])</f>
        <v>USD</v>
      </c>
      <c r="W79" s="749">
        <f ca="1">_xlfn.XLOOKUP(Tab_NewTRADER[[#This Row],[ClickTick]],TabCalc[Ticker],TabCalc[M])</f>
        <v>154.62</v>
      </c>
      <c r="X79" s="1343"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 / 139 K$</v>
      </c>
      <c r="AE79" s="1173" t="str" cm="1">
        <f t="array" aca="1" ref="AE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9" s="1177" t="str" cm="1">
        <f t="array" aca="1" ref="AF79" ca="1">_xlfn.IFS(       Tab_NewTRADER[[#This Row],[Trap_vs_Last]]=RePurchaseGain,TEXT(Tab_NewTRADER[[#This Row],[L_Sn]],"#,#0")&amp;" x "&amp;TEXT(Tab_NewTRADER[[#This Row],[L_Sp]],"#,#0.#0"),     Tab_NewTRADER[[#This Row],[Trap_vs_Last]]=ReSaleGain,Tab_NewTRADER[[#This Row],[ToSell]],               TRUE,"")</f>
        <v/>
      </c>
      <c r="AG79" s="1177" t="str" cm="1">
        <f t="array" aca="1" ref="AG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H79" s="1370" t="str">
        <f ca="1">TEXT(MIN(Tab_NewTRADER[[#This Row],[L_Bn]],Tab_NewTRADER[[#This Row],[N]]),"#,#0")&amp;" x "&amp;TEXT(Tab_NewTRADER[[#This Row],[L_Bp]],"#,#0.#0")</f>
        <v>300 x -183.16</v>
      </c>
      <c r="AI79" s="1370">
        <f ca="1">IF(Tab_NewTRADER[[#This Row],[M]]&lt;_xlfn.XLOOKUP(Tab_NewTRADER[[#This Row],[ClickTick]],TabCalc[Ticker],TabCalc[Max_Buy_P]), 0,Tab_NewTRADER[[#This Row],[Sale_Back_$]])</f>
        <v>0</v>
      </c>
      <c r="AJ79" s="1370" t="str">
        <f ca="1">TEXT(Tab_NewTRADER[[#This Row],[L_Sn]],"#,#0")&amp;" ("&amp;Tab_NewTRADER[[#This Row],[M]]&amp;"/"&amp;TEXT(Tab_NewTRADER[[#This Row],[L_Sp]],"#,#0.#0)")</f>
        <v>200 (154.62/192.01)</v>
      </c>
      <c r="AK79" s="1370">
        <f ca="1">IF(Tab_NewTRADER[[#This Row],[M]]&lt;_xlfn.XLOOKUP(Tab_NewTRADER[[#This Row],[ClickTick]],TabCalc[Ticker],TabCalc[Max_Buy_P]), -Tab_NewTRADER[[#This Row],[Buy_Back]], 0)</f>
        <v>7458.5571999999966</v>
      </c>
      <c r="AL79" s="1177" cm="1">
        <f t="array" aca="1" ref="AL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8539.7387999999974</v>
      </c>
      <c r="AM79" s="1177">
        <f ca="1">Tab_NewTRADER[[#This Row],[N]]*(Tab_NewTRADER[[#This Row],[M]]-Tab_NewTRADER[[#This Row],[A]])*(1-Commission)*Tab_NewTRADER[[#This Row],[Scale]]</f>
        <v>-23624.416399999984</v>
      </c>
      <c r="AN79" s="1177">
        <f ca="1">Tab_NewTRADER[[#This Row],[M]]*Tab_NewTRADER[[#This Row],[N]]*(1-Commission)*Tab_NewTRADER[[#This Row],[Scale]]</f>
        <v>138796.18919999999</v>
      </c>
      <c r="AO79" s="1186" cm="1">
        <f t="array" aca="1" ref="AO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0.14545208911596366</v>
      </c>
      <c r="AP79" s="1186" cm="1">
        <f t="array" aca="1" ref="AP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0.18198155477945926</v>
      </c>
      <c r="AQ79" s="825" t="str" cm="1">
        <f t="array" aca="1" ref="AQ79" ca="1">_xlfn.IFS(   Tab_NewTRADER[[#This Row],[Trap_vs_Last]]=SellMorePercentGain,                     MIN(Tab_NewTRADER[[#This Row],[L_Sn]],Tab_NewTRADER[[#This Row],[N]])*(Tab_NewTRADER[[#This Row],[M]]-Tab_NewTRADER[[#This Row],[L_Sp]])*(1-Commission)*Tab_NewTRADER[[#This Row],[Scale]],                    TRUE,"")</f>
        <v/>
      </c>
      <c r="AR79" s="1192">
        <f ca="1">_xlfn.XLOOKUP(Tab_NewTRADER[[#This Row],[ClickTick]],TabCalc[Ticker],TabCalc[Ann%RevLB])</f>
        <v>-3.5059510810220567</v>
      </c>
      <c r="AS79" s="1282">
        <f ca="1">_xlfn.XLOOKUP(Tab_NewTRADER[[#This Row],[ClickTick]],TabCalc[Ticker],TabCalc[Up20])</f>
        <v>0</v>
      </c>
      <c r="AT79" s="1187" cm="1">
        <f t="array" aca="1" ref="AT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0.18458155477945926</v>
      </c>
      <c r="AU79" s="825" cm="1">
        <f t="array" aca="1" ref="AU79" ca="1">_xlfn.IFS(         Tab_NewTRADER[[#This Row],[Trap_vs_Last]]=MDown,Tab_NewTRADER[[#This Row],[L_Bn]]*Tab_NewTRADER[[#This Row],[M]]*(-(Tab_NewTRADER[[#This Row],[L_Bp]]+Tab_NewTRADER[[#This Row],[M]])/Tab_NewTRADER[[#This Row],[M]])*(1-Commission)*Tab_NewTRADER[[#This Row],[Scale]],                               TRUE,"")</f>
        <v>8539.7387999999955</v>
      </c>
      <c r="AV79" s="1186" cm="1">
        <f t="array" aca="1" ref="AV79" ca="1">_xlfn.IFS(   Tab_NewTRADER[[#This Row],[Trap_vs_Last]]=MUp,Tab_NewTRADER[[#This Row],[TakeGain_A]]-Commission,        Tab_NewTRADER[[#This Row],[Trap_vs_Last]]=MDown,(Tab_NewTRADER[[#This Row],[A]]-Tab_NewTRADER[[#This Row],[M]])/Tab_NewTRADER[[#This Row],[M]]-Commission,                              TRUE,"")</f>
        <v>0.16760940226217672</v>
      </c>
      <c r="AW79" s="760" cm="1">
        <f t="array" aca="1" ref="AW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23624.416399999984</v>
      </c>
      <c r="AX79" s="760" t="str" cm="1">
        <f t="array" aca="1" ref="AX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-1.5%</v>
      </c>
      <c r="AY79" s="736" cm="1">
        <f t="array" aca="1" ref="AY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-28.54</v>
      </c>
      <c r="AZ79" s="765" cm="1">
        <f t="array" aca="1" ref="AZ79" ca="1">_xlfn.IFS(Tab_NewTRADER[[#This Row],[Trap_vs_Last]]=ReSaleGain,"",         Tab_NewTRADER[[#This Row],[Trap_vs_Last]]=MDown, (Tab_NewTRADER[[#This Row],[M]]-Tab_NewTRADER[[#This Row],[A]])/Tab_NewTRADER[[#This Row],[A]]*ComFactor,             TRUE, IFERROR((Tab_NewTRADER[[#This Row],[M]]-Tab_NewTRADER[[#This Row],[A]])/Tab_NewTRADER[[#This Row],[A]]*ComFactor,""))</f>
        <v>-0.14507391368426215</v>
      </c>
      <c r="BA79" s="762" cm="1">
        <f t="array" aca="1" ref="BA79" ca="1">_xlfn.IFS(               Tab_NewTRADER[[#This Row],[Trap_vs_Last]]=NoStock,(Tab_NewTRADER[[#This Row],[L_Sp]]-Tab_NewTRADER[[#This Row],[M]])/Tab_NewTRADER[[#This Row],[M]]-Commission,             Tab_NewTRADER[[#This Row],[A]]&lt;&gt;0,(Tab_NewTRADER[[#This Row],[A]]-Tab_NewTRADER[[#This Row],[M]])/Tab_NewTRADER[[#This Row],[M]]-Commission)</f>
        <v>0.16760940226217672</v>
      </c>
      <c r="BB79" s="324">
        <f ca="1">_xlfn.XLOOKUP(Tab_NewTRADER[[#This Row],[ClickTick]],TabCalc[Ticker],TabCalc[L_Sn])</f>
        <v>200</v>
      </c>
      <c r="BC79" s="728">
        <f ca="1">_xlfn.XLOOKUP(Tab_NewTRADER[[#This Row],[ClickTick]],TabCalc[Ticker],TabCalc[L_Sp])</f>
        <v>192.01</v>
      </c>
      <c r="BD79" s="764">
        <f ca="1">-IFERROR((Tab_NewTRADER[[#This Row],[M]]-Tab_NewTRADER[[#This Row],[L_Sp]])/Tab_NewTRADER[[#This Row],[L_Sp]],0)</f>
        <v>0.19472944117493873</v>
      </c>
      <c r="BE79" s="729">
        <f ca="1">MIN(Tab_NewTRADER[[#This Row],[L_Sn]],Tab_NewTRADER[[#This Row],[N]])*(Tab_NewTRADER[[#This Row],[M]]-Tab_NewTRADER[[#This Row],[L_Sp]])*(1-Commission)*Tab_NewTRADER[[#This Row],[Scale]]</f>
        <v>-7458.5571999999966</v>
      </c>
      <c r="BF79" s="692">
        <f ca="1">Tab_NewTRADER[[#This Row],[L_Sn]]*(Tab_NewTRADER[[#This Row],[Agiotage]]-Tab_NewTRADER[[#This Row],[M]])/(Tab_NewTRADER[[#This Row],[L_Bn]]*Tab_NewTRADER[[#This Row],[M]])</f>
        <v>-0.66349442620736332</v>
      </c>
      <c r="BG79" s="635">
        <f ca="1">IFERROR((Tab_NewTRADER[[#This Row],[M]]-Tab_NewTRADER[[#This Row],[A]])/Tab_NewTRADER[[#This Row],[A]],0)</f>
        <v>-0.14545208911596366</v>
      </c>
      <c r="BH79" s="638" t="str">
        <f ca="1">TEXT(_xlfn.XLOOKUP(Tab_NewTRADER[[#This Row],[ClickTick]],TabCalc[Ticker],TabCalc[NAfter]),"#,#0")&amp;" : "&amp;TEXT(_xlfn.XLOOKUP(Tab_NewTRADER[[#This Row],[ClickTick]],TabCalc[Ticker],TabCalc[NAfter])*(Tab_NewTRADER[[#This Row],[M]]-Tab_NewTRADER[[#This Row],[A]])*(1-Commission)*Tab_NewTRADER[[#This Row],[Scale]],"#,#0$")</f>
        <v>900 : -23,624$</v>
      </c>
      <c r="BI79" s="684">
        <f ca="1">_xlfn.XLOOKUP(Tab_NewTRADER[[#This Row],[ClickTick]],TabCalc[[#This Row],[Ticker]],TabCalc[[#This Row],[GL]])*(1-Commission)</f>
        <v>18061.766990000018</v>
      </c>
      <c r="BJ79" s="684"/>
      <c r="BK79" s="669" t="str">
        <f ca="1">Tab_NewTRADER[[#This Row],[ClickTick]]&amp;": "&amp;_xlfn.XLOOKUP(Tab_NewTRADER[[#This Row],[ClickTick]],TabCalc[Ticker],TabCalc[Pile?])</f>
        <v xml:space="preserve">GNRC: </v>
      </c>
      <c r="BL79" s="351" t="s">
        <v>2016</v>
      </c>
      <c r="BM79" s="755" t="str" cm="1">
        <f t="array" aca="1" ref="BM79" ca="1">_xlfn.TEXTJOIN("",,INDEX({"M","A","Y"}, _xlfn.SORTBY({1,2,3}, -CHOOSE({1,2,3}, Tab_NewTRADER[[#This Row],[M]], Tab_NewTRADER[[#This Row],[A]], Tab_NewTRADER[[#This Row],[Agiotage]]))))</f>
        <v>AMY</v>
      </c>
      <c r="BN79" s="909" cm="1">
        <f t="array" aca="1" ref="BN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0.18458155477945926</v>
      </c>
      <c r="BO79" s="679" t="e">
        <f ca="1">Tab_NewTRADER[[#This Row],[L_Sn]]*Tab_NewTRADER[[#This Row],[L_Sp]]+Tab_NewTRADER[[#This Row],[SellMore]]*Tab_NewTRADER[[#This Row],[M]]</f>
        <v>#N/A</v>
      </c>
      <c r="BP79" s="679" t="e">
        <f ca="1">INDEX(
  INDEX(TabConsolid[], , _xlfn.XMATCH(Tab_NewTRADER[[#This Row],[ClickTick]]&amp;1, TabConsolid[#Headers])),
  MATCH(
    -Tab_NewTRADER[[#This Row],[M]],
    INDEX(TabConsolid[], , _xlfn.XMATCH(Tab_NewTRADER[[#This Row],[ClickTick]]&amp;2, TabConsolid[#Headers])),
    -1
  )
)</f>
        <v>#N/A</v>
      </c>
      <c r="BQ79" s="679" cm="1">
        <f t="array" aca="1" ref="BQ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79" s="1156" t="e">
        <f ca="1">Tab_NewTRADER[[#This Row],[ReBuy]]/(Tab_NewTRADER[[#This Row],[L_Sn]]+Tab_NewTRADER[[#This Row],[SellMore]])</f>
        <v>#N/A</v>
      </c>
      <c r="BS79" s="687">
        <f ca="1">((_xlfn.XLOOKUP(Tab_NewTRADER[[#This Row],[ClickTick]],TabCalc[Ticker],TabCalc[NAfter])+Tab_NewTRADER[[#This Row],[L_Sn]])*(Tab_NewTRADER[[#This Row],[Agiotage]]-Tab_NewTRADER[[#This Row],[M]]))/(Tab_NewTRADER[[#This Row],[L_Sn]]*_xlfn.XLOOKUP(Tab_NewTRADER[[#This Row],[ClickTick]],TabCalc[Ticker],TabCalc[NAfter]))</f>
        <v>-0.94040382498500641</v>
      </c>
      <c r="BT79" s="687">
        <f ca="1">(Tab_NewTRADER[[#This Row],[M]]-Tab_NewTRADER[[#This Row],[Agiotage]])/(Tab_NewTRADER[[#This Row],[M]]-Tab_NewTRADER[[#This Row],[A]])-1</f>
        <v>-6.8471601808345213</v>
      </c>
      <c r="BU79" s="1277">
        <f ca="1">_xlfn.XMATCH(Tab_NewTRADER[[#This Row],[ClickTick]]&amp;1, TabConsolid[#Headers])</f>
        <v>233</v>
      </c>
      <c r="BV79" t="str">
        <f ca="1">IF(ABS(Tab_NewTRADER[[#This Row],[L_Bp]])&gt;=Tab_NewTRADER[[#This Row],[M]],"OK")</f>
        <v>OK</v>
      </c>
    </row>
    <row r="80" spans="1:74"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28.5%</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15,346$</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-19.5% = 0</v>
      </c>
      <c r="I80" s="226" t="str">
        <f ca="1">IFERROR(TRUNC(TabCalc[[#This Row],[L_S1p]],2)&amp;"x"&amp;TabCalc[[#This Row],[L_S1n]]&amp;"=   "&amp;TEXT(TabCalc[[#This Row],[ReverseB1]],"#,#0"),"")</f>
        <v>495.03x100=   -29,032</v>
      </c>
      <c r="J80" s="295">
        <f ca="1">_xlfn.XLOOKUP(Tab_NewTRADER[[#This Row],[ClickTick]],TabCalc[Ticker],ListGravity)</f>
        <v>1.0209931814275073</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0.79592194313113518</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0.39842041020189589</v>
      </c>
      <c r="S80" s="683">
        <f ca="1">_xlfn.XLOOKUP(Tab_NewTRADER[[#This Row],[ClickTick]],TabCalc[Ticker],TabCalc[Rev(MinStock)])*(1-Commission)</f>
        <v>0</v>
      </c>
      <c r="T80" s="782">
        <f ca="1">_xlfn.XLOOKUP(Tab_NewTRADER[[#This Row],[ClickTick]],TabCalc[Ticker],TabCalc[Agiotage])</f>
        <v>0.79592194313113518</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80" s="739" t="str">
        <f ca="1">_xlfn.XLOOKUP(Tab_NewTRADER[[#This Row],[ClickTick]],[1]!RTData[Ticker_Symbol],[1]!RTData[Currency])</f>
        <v>USD</v>
      </c>
      <c r="W80" s="749">
        <f ca="1">_xlfn.XLOOKUP(Tab_NewTRADER[[#This Row],[ClickTick]],TabCalc[Ticker],TabCalc[M])</f>
        <v>785.35500000000002</v>
      </c>
      <c r="X80" s="1343"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E80" s="1195" t="str" cm="1">
        <f t="array" aca="1" ref="AE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80" s="1177" t="str" cm="1">
        <f t="array" aca="1" ref="AF80" ca="1">_xlfn.IFS(       Tab_NewTRADER[[#This Row],[Trap_vs_Last]]=RePurchaseGain,TEXT(Tab_NewTRADER[[#This Row],[L_Sn]],"#,#0")&amp;" x "&amp;TEXT(Tab_NewTRADER[[#This Row],[L_Sp]],"#,#0.#0"),     Tab_NewTRADER[[#This Row],[Trap_vs_Last]]=ReSaleGain,Tab_NewTRADER[[#This Row],[ToSell]],               TRUE,"")</f>
        <v/>
      </c>
      <c r="AG80" s="1177" t="str" cm="1">
        <f t="array" aca="1" ref="AG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80" s="1370" t="str">
        <f ca="1">TEXT(MIN(Tab_NewTRADER[[#This Row],[L_Bn]],Tab_NewTRADER[[#This Row],[N]]),"#,#0")&amp;" x "&amp;TEXT(Tab_NewTRADER[[#This Row],[L_Bp]],"#,#0.#0")</f>
        <v>0 x -561.60</v>
      </c>
      <c r="AI80" s="1370">
        <f ca="1">IF(Tab_NewTRADER[[#This Row],[M]]&lt;_xlfn.XLOOKUP(Tab_NewTRADER[[#This Row],[ClickTick]],TabCalc[Ticker],TabCalc[Max_Buy_P]), 0,Tab_NewTRADER[[#This Row],[Sale_Back_$]])</f>
        <v>0</v>
      </c>
      <c r="AJ80" s="1370" t="str">
        <f ca="1">TEXT(Tab_NewTRADER[[#This Row],[L_Sn]],"#,#0")&amp;" ("&amp;Tab_NewTRADER[[#This Row],[M]]&amp;"/"&amp;TEXT(Tab_NewTRADER[[#This Row],[L_Sp]],"#,#0.#0)")</f>
        <v>100 (785.355/631.90)</v>
      </c>
      <c r="AK80" s="1370">
        <f ca="1">IF(Tab_NewTRADER[[#This Row],[M]]&lt;_xlfn.XLOOKUP(Tab_NewTRADER[[#This Row],[ClickTick]],TabCalc[Ticker],TabCalc[Max_Buy_P]), -Tab_NewTRADER[[#This Row],[Buy_Back]], 0)</f>
        <v>0</v>
      </c>
      <c r="AL80" s="1177" t="str" cm="1">
        <f t="array" aca="1" ref="AL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0" s="1177">
        <f ca="1">Tab_NewTRADER[[#This Row],[N]]*(Tab_NewTRADER[[#This Row],[M]]-Tab_NewTRADER[[#This Row],[A]])*(1-Commission)*Tab_NewTRADER[[#This Row],[Scale]]</f>
        <v>0</v>
      </c>
      <c r="AN80" s="1177">
        <f ca="1">Tab_NewTRADER[[#This Row],[M]]*Tab_NewTRADER[[#This Row],[N]]*(1-Commission)*Tab_NewTRADER[[#This Row],[Scale]]</f>
        <v>0</v>
      </c>
      <c r="AO80" s="1186" t="str" cm="1">
        <f t="array" aca="1" ref="AO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80" s="1186" t="str" cm="1">
        <f t="array" aca="1" ref="AP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Tab_NewTRADER[[#This Row],[Trap_vs_Last]]=SellMorePercentGain,                     MIN(Tab_NewTRADER[[#This Row],[L_Sn]],Tab_NewTRADER[[#This Row],[N]])*(Tab_NewTRADER[[#This Row],[M]]-Tab_NewTRADER[[#This Row],[L_Sp]])*(1-Commission)*Tab_NewTRADER[[#This Row],[Scale]],                    TRUE,"")</f>
        <v/>
      </c>
      <c r="AR80" s="1175">
        <f ca="1">_xlfn.XLOOKUP(Tab_NewTRADER[[#This Row],[ClickTick]],TabCalc[Ticker],TabCalc[Ann%RevLB])</f>
        <v>0.35679439719572764</v>
      </c>
      <c r="AS80" s="1282">
        <f ca="1">_xlfn.XLOOKUP(Tab_NewTRADER[[#This Row],[ClickTick]],TabCalc[Ticker],TabCalc[Up20])</f>
        <v>0.5714285714285714</v>
      </c>
      <c r="AT80" s="1187" t="str" cm="1">
        <f t="array" aca="1" ref="AT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0" s="825" t="str" cm="1">
        <f t="array" aca="1" ref="AU80" ca="1">_xlfn.IFS(         Tab_NewTRADER[[#This Row],[Trap_vs_Last]]=MDown,Tab_NewTRADER[[#This Row],[L_Bn]]*Tab_NewTRADER[[#This Row],[M]]*(-(Tab_NewTRADER[[#This Row],[L_Bp]]+Tab_NewTRADER[[#This Row],[M]])/Tab_NewTRADER[[#This Row],[M]])*(1-Commission)*Tab_NewTRADER[[#This Row],[Scale]],                               TRUE,"")</f>
        <v/>
      </c>
      <c r="AV80" s="1186" t="str" cm="1">
        <f t="array" aca="1" ref="AV80" ca="1">_xlfn.IFS(   Tab_NewTRADER[[#This Row],[Trap_vs_Last]]=MUp,Tab_NewTRADER[[#This Row],[TakeGain_A]]-Commission,        Tab_NewTRADER[[#This Row],[Trap_vs_Last]]=MDown,(Tab_NewTRADER[[#This Row],[A]]-Tab_NewTRADER[[#This Row],[M]])/Tab_NewTRADER[[#This Row],[M]]-Commission,                              TRUE,"")</f>
        <v/>
      </c>
      <c r="AW80" s="825" cm="1">
        <f t="array" aca="1" ref="AW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80" s="760" t="str" cm="1">
        <f t="array" aca="1" ref="AX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Y80" s="736" t="str" cm="1">
        <f t="array" aca="1" ref="AY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0x785.35</v>
      </c>
      <c r="AZ80" s="765" t="str" cm="1">
        <f t="array" aca="1" ref="AZ80" ca="1">_xlfn.IFS(Tab_NewTRADER[[#This Row],[Trap_vs_Last]]=ReSaleGain,"",         Tab_NewTRADER[[#This Row],[Trap_vs_Last]]=MDown, (Tab_NewTRADER[[#This Row],[M]]-Tab_NewTRADER[[#This Row],[A]])/Tab_NewTRADER[[#This Row],[A]]*ComFactor,             TRUE, IFERROR((Tab_NewTRADER[[#This Row],[M]]-Tab_NewTRADER[[#This Row],[A]])/Tab_NewTRADER[[#This Row],[A]]*ComFactor,""))</f>
        <v/>
      </c>
      <c r="BA80" s="762" cm="1">
        <f t="array" aca="1" ref="BA80" ca="1">_xlfn.IFS(               Tab_NewTRADER[[#This Row],[Trap_vs_Last]]=NoStock,(Tab_NewTRADER[[#This Row],[L_Sp]]-Tab_NewTRADER[[#This Row],[M]])/Tab_NewTRADER[[#This Row],[M]]-Commission,             Tab_NewTRADER[[#This Row],[A]]&lt;&gt;0,(Tab_NewTRADER[[#This Row],[A]]-Tab_NewTRADER[[#This Row],[M]])/Tab_NewTRADER[[#This Row],[M]]-Commission)</f>
        <v>-0.19799571276683797</v>
      </c>
      <c r="BB80" s="324">
        <f ca="1">_xlfn.XLOOKUP(Tab_NewTRADER[[#This Row],[ClickTick]],TabCalc[Ticker],TabCalc[L_Sn])</f>
        <v>100</v>
      </c>
      <c r="BC80" s="728">
        <f ca="1">_xlfn.XLOOKUP(Tab_NewTRADER[[#This Row],[ClickTick]],TabCalc[Ticker],TabCalc[L_Sp])</f>
        <v>631.9</v>
      </c>
      <c r="BD80" s="764">
        <f ca="1">-IFERROR((Tab_NewTRADER[[#This Row],[M]]-Tab_NewTRADER[[#This Row],[L_Sp]])/Tab_NewTRADER[[#This Row],[L_Sp]],0)</f>
        <v>-0.24284696945719267</v>
      </c>
      <c r="BE80" s="729">
        <f ca="1">MIN(Tab_NewTRADER[[#This Row],[L_Sn]],Tab_NewTRADER[[#This Row],[N]])*(Tab_NewTRADER[[#This Row],[M]]-Tab_NewTRADER[[#This Row],[L_Sp]])*(1-Commission)*Tab_NewTRADER[[#This Row],[Scale]]</f>
        <v>0</v>
      </c>
      <c r="BF80" s="692">
        <f ca="1">Tab_NewTRADER[[#This Row],[L_Sn]]*(Tab_NewTRADER[[#This Row],[Agiotage]]-Tab_NewTRADER[[#This Row],[M]])/(Tab_NewTRADER[[#This Row],[L_Bn]]*Tab_NewTRADER[[#This Row],[M]])</f>
        <v>-0.99898654501068807</v>
      </c>
      <c r="BG80" s="635">
        <f ca="1">IFERROR((Tab_NewTRADER[[#This Row],[M]]-Tab_NewTRADER[[#This Row],[A]])/Tab_NewTRADER[[#This Row],[A]],0)</f>
        <v>0</v>
      </c>
      <c r="BH80" s="638" t="str">
        <f ca="1">TEXT(_xlfn.XLOOKUP(Tab_NewTRADER[[#This Row],[ClickTick]],TabCalc[Ticker],TabCalc[NAfter]),"#,#0")&amp;" : "&amp;TEXT(_xlfn.XLOOKUP(Tab_NewTRADER[[#This Row],[ClickTick]],TabCalc[Ticker],TabCalc[NAfter])*(Tab_NewTRADER[[#This Row],[M]]-Tab_NewTRADER[[#This Row],[A]])*(1-Commission)*Tab_NewTRADER[[#This Row],[Scale]],"#,#0$")</f>
        <v>0 : 0$</v>
      </c>
      <c r="BI80" s="684">
        <f ca="1">_xlfn.XLOOKUP(Tab_NewTRADER[[#This Row],[ClickTick]],TabCalc[[#This Row],[Ticker]],TabCalc[[#This Row],[GL]])*(1-Commission)</f>
        <v>45798.352878600024</v>
      </c>
      <c r="BJ80" s="684"/>
      <c r="BK80" s="669" t="str">
        <f ca="1">Tab_NewTRADER[[#This Row],[ClickTick]]&amp;": "&amp;_xlfn.XLOOKUP(Tab_NewTRADER[[#This Row],[ClickTick]],TabCalc[Ticker],TabCalc[Pile?])</f>
        <v>GS: Pile</v>
      </c>
      <c r="BL80" s="351" t="s">
        <v>2017</v>
      </c>
      <c r="BM80" s="755" t="str" cm="1">
        <f t="array" aca="1" ref="BM80" ca="1">_xlfn.TEXTJOIN("",,INDEX({"M","A","Y"}, _xlfn.SORTBY({1,2,3}, -CHOOSE({1,2,3}, Tab_NewTRADER[[#This Row],[M]], Tab_NewTRADER[[#This Row],[A]], Tab_NewTRADER[[#This Row],[Agiotage]]))))</f>
        <v>MYA</v>
      </c>
      <c r="BN80" s="909" t="str" cm="1">
        <f t="array" aca="1" ref="BN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0" s="679" t="e">
        <f ca="1">Tab_NewTRADER[[#This Row],[L_Sn]]*Tab_NewTRADER[[#This Row],[L_Sp]]+Tab_NewTRADER[[#This Row],[SellMore]]*Tab_NewTRADER[[#This Row],[M]]</f>
        <v>#N/A</v>
      </c>
      <c r="BP80" s="679" t="e">
        <f ca="1">INDEX(
  INDEX(TabConsolid[], , _xlfn.XMATCH(Tab_NewTRADER[[#This Row],[ClickTick]]&amp;1, TabConsolid[#Headers])),
  MATCH(
    -Tab_NewTRADER[[#This Row],[M]],
    INDEX(TabConsolid[], , _xlfn.XMATCH(Tab_NewTRADER[[#This Row],[ClickTick]]&amp;2, TabConsolid[#Headers])),
    -1
  )
)</f>
        <v>#N/A</v>
      </c>
      <c r="BQ80" s="679" cm="1">
        <f t="array" aca="1" ref="BQ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0" s="1156" t="e">
        <f ca="1">Tab_NewTRADER[[#This Row],[ReBuy]]/(Tab_NewTRADER[[#This Row],[L_Sn]]+Tab_NewTRADER[[#This Row],[SellMore]])</f>
        <v>#N/A</v>
      </c>
      <c r="BS80" s="687" t="e">
        <f ca="1">((_xlfn.XLOOKUP(Tab_NewTRADER[[#This Row],[ClickTick]],TabCalc[Ticker],TabCalc[NAfter])+Tab_NewTRADER[[#This Row],[L_Sn]])*(Tab_NewTRADER[[#This Row],[Agiotage]]-Tab_NewTRADER[[#This Row],[M]]))/(Tab_NewTRADER[[#This Row],[L_Sn]]*_xlfn.XLOOKUP(Tab_NewTRADER[[#This Row],[ClickTick]],TabCalc[Ticker],TabCalc[NAfter]))</f>
        <v>#DIV/0!</v>
      </c>
      <c r="BT80" s="687">
        <f ca="1">(Tab_NewTRADER[[#This Row],[M]]-Tab_NewTRADER[[#This Row],[Agiotage]])/(Tab_NewTRADER[[#This Row],[M]]-Tab_NewTRADER[[#This Row],[A]])-1</f>
        <v>-1.0134549893120459E-3</v>
      </c>
      <c r="BU80" s="1277">
        <f ca="1">_xlfn.XMATCH(Tab_NewTRADER[[#This Row],[ClickTick]]&amp;1, TabConsolid[#Headers])</f>
        <v>236</v>
      </c>
      <c r="BV80" t="b">
        <f ca="1">IF(ABS(Tab_NewTRADER[[#This Row],[L_Bp]])&gt;=Tab_NewTRADER[[#This Row],[M]],"OK")</f>
        <v>0</v>
      </c>
    </row>
    <row r="81" spans="1:74"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-50,116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-417.3%</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-21,598$</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2.0080321285140559</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12655.425000000001</v>
      </c>
      <c r="M81" s="323">
        <f ca="1">_xlfn.XLOOKUP(Tab_NewTRADER[[#This Row],[ClickTick]],TabCalc[Ticker],TabCalc[Agiotage])</f>
        <v>0.35601021921338849</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-0.80667701863354035</v>
      </c>
      <c r="S81" s="683">
        <f ca="1">_xlfn.XLOOKUP(Tab_NewTRADER[[#This Row],[ClickTick]],TabCalc[Ticker],TabCalc[Rev(MinStock)])*(1-Commission)</f>
        <v>-49985.862970999995</v>
      </c>
      <c r="T81" s="782">
        <f ca="1">_xlfn.XLOOKUP(Tab_NewTRADER[[#This Row],[ClickTick]],TabCalc[Ticker],TabCalc[Agiotage])</f>
        <v>0.35601021921338849</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1,319/1,319=&gt;8.3% / 8.3%</v>
      </c>
      <c r="V81" s="739" t="str">
        <f ca="1">_xlfn.XLOOKUP(Tab_NewTRADER[[#This Row],[ClickTick]],[1]!RTData[Ticker_Symbol],[1]!RTData[Currency])</f>
        <v>USD</v>
      </c>
      <c r="W81" s="749">
        <f ca="1">_xlfn.XLOOKUP(Tab_NewTRADER[[#This Row],[ClickTick]],TabCalc[Ticker],TabCalc[M])</f>
        <v>1.2450000000000001</v>
      </c>
      <c r="X81" s="1343"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-317/19 K$</v>
      </c>
      <c r="AE81" s="1195" t="str" cm="1">
        <f t="array" aca="1" ref="AE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1" s="1177" t="str" cm="1">
        <f t="array" aca="1" ref="AF81" ca="1">_xlfn.IFS(       Tab_NewTRADER[[#This Row],[Trap_vs_Last]]=RePurchaseGain,TEXT(Tab_NewTRADER[[#This Row],[L_Sn]],"#,#0")&amp;" x "&amp;TEXT(Tab_NewTRADER[[#This Row],[L_Sp]],"#,#0.#0"),     Tab_NewTRADER[[#This Row],[Trap_vs_Last]]=ReSaleGain,Tab_NewTRADER[[#This Row],[ToSell]],               TRUE,"")</f>
        <v/>
      </c>
      <c r="AG81" s="1177" t="str" cm="1">
        <f t="array" aca="1" ref="AG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H81" s="1370" t="str">
        <f ca="1">TEXT(MIN(Tab_NewTRADER[[#This Row],[L_Bn]],Tab_NewTRADER[[#This Row],[N]]),"#,#0")&amp;" x "&amp;TEXT(Tab_NewTRADER[[#This Row],[L_Bp]],"#,#0.#0")</f>
        <v>9,647 x -6.44</v>
      </c>
      <c r="AI81" s="1370">
        <f ca="1">IF(Tab_NewTRADER[[#This Row],[M]]&lt;_xlfn.XLOOKUP(Tab_NewTRADER[[#This Row],[ClickTick]],TabCalc[Ticker],TabCalc[Max_Buy_P]), 0,Tab_NewTRADER[[#This Row],[Sale_Back_$]])</f>
        <v>0</v>
      </c>
      <c r="AJ81" s="1370" t="str">
        <f ca="1">TEXT(Tab_NewTRADER[[#This Row],[L_Sn]],"#,#0")&amp;" ("&amp;Tab_NewTRADER[[#This Row],[M]]&amp;"/"&amp;TEXT(Tab_NewTRADER[[#This Row],[L_Sp]],"#,#0.#0)")</f>
        <v>0 (1.245/0.0)</v>
      </c>
      <c r="AK81" s="1370">
        <f ca="1">IF(Tab_NewTRADER[[#This Row],[M]]&lt;_xlfn.XLOOKUP(Tab_NewTRADER[[#This Row],[ClickTick]],TabCalc[Ticker],TabCalc[Max_Buy_P]), -Tab_NewTRADER[[#This Row],[Buy_Back]], 0)</f>
        <v>0</v>
      </c>
      <c r="AL81" s="1177" cm="1">
        <f t="array" aca="1" ref="AL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49985.862970999995</v>
      </c>
      <c r="AM81" s="1177">
        <f ca="1">Tab_NewTRADER[[#This Row],[N]]*(Tab_NewTRADER[[#This Row],[M]]-Tab_NewTRADER[[#This Row],[A]])*(1-Commission)*Tab_NewTRADER[[#This Row],[Scale]]</f>
        <v>-316244.55078200001</v>
      </c>
      <c r="AN81" s="1177">
        <f ca="1">Tab_NewTRADER[[#This Row],[M]]*Tab_NewTRADER[[#This Row],[N]]*(1-Commission)*Tab_NewTRADER[[#This Row],[Scale]]</f>
        <v>19269.678233999999</v>
      </c>
      <c r="AO81" s="1186" cm="1">
        <f t="array" aca="1" ref="AO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0.94256673318888928</v>
      </c>
      <c r="AP81" s="1186" cm="1">
        <f t="array" aca="1" ref="AP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4.1700907630522082</v>
      </c>
      <c r="AQ81" s="825" t="str" cm="1">
        <f t="array" aca="1" ref="AQ81" ca="1">_xlfn.IFS(   Tab_NewTRADER[[#This Row],[Trap_vs_Last]]=SellMorePercentGain,                     MIN(Tab_NewTRADER[[#This Row],[L_Sn]],Tab_NewTRADER[[#This Row],[N]])*(Tab_NewTRADER[[#This Row],[M]]-Tab_NewTRADER[[#This Row],[L_Sp]])*(1-Commission)*Tab_NewTRADER[[#This Row],[Scale]],                    TRUE,"")</f>
        <v/>
      </c>
      <c r="AR81" s="1175">
        <f ca="1">_xlfn.XLOOKUP(Tab_NewTRADER[[#This Row],[ClickTick]],TabCalc[Ticker],TabCalc[Ann%RevLB])</f>
        <v>-1.0048571858410884</v>
      </c>
      <c r="AS81" s="1282">
        <f ca="1">_xlfn.XLOOKUP(Tab_NewTRADER[[#This Row],[ClickTick]],TabCalc[Ticker],TabCalc[Up20])</f>
        <v>0</v>
      </c>
      <c r="AT81" s="1187" cm="1">
        <f t="array" aca="1" ref="AT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4.1726907630522083</v>
      </c>
      <c r="AU81" s="825" cm="1">
        <f t="array" aca="1" ref="AU81" ca="1">_xlfn.IFS(         Tab_NewTRADER[[#This Row],[Trap_vs_Last]]=MDown,Tab_NewTRADER[[#This Row],[L_Bn]]*Tab_NewTRADER[[#This Row],[M]]*(-(Tab_NewTRADER[[#This Row],[L_Bp]]+Tab_NewTRADER[[#This Row],[M]])/Tab_NewTRADER[[#This Row],[M]])*(1-Commission)*Tab_NewTRADER[[#This Row],[Scale]],                               TRUE,"")</f>
        <v>49985.862970999995</v>
      </c>
      <c r="AV81" s="1186" cm="1">
        <f t="array" aca="1" ref="AV81" ca="1">_xlfn.IFS(   Tab_NewTRADER[[#This Row],[Trap_vs_Last]]=MUp,Tab_NewTRADER[[#This Row],[TakeGain_A]]-Commission,        Tab_NewTRADER[[#This Row],[Trap_vs_Last]]=MDown,(Tab_NewTRADER[[#This Row],[A]]-Tab_NewTRADER[[#This Row],[M]])/Tab_NewTRADER[[#This Row],[M]]-Commission,                              TRUE,"")</f>
        <v>16.408911751348736</v>
      </c>
      <c r="AW81" s="760" cm="1">
        <f t="array" aca="1" ref="AW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316244.55078200001</v>
      </c>
      <c r="AX81" s="760" t="str" cm="1">
        <f t="array" aca="1" ref="AX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81" s="736" cm="1">
        <f t="array" aca="1" ref="AY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-5.19</v>
      </c>
      <c r="AZ81" s="765" cm="1">
        <f t="array" aca="1" ref="AZ81" ca="1">_xlfn.IFS(Tab_NewTRADER[[#This Row],[Trap_vs_Last]]=ReSaleGain,"",         Tab_NewTRADER[[#This Row],[Trap_vs_Last]]=MDown, (Tab_NewTRADER[[#This Row],[M]]-Tab_NewTRADER[[#This Row],[A]])/Tab_NewTRADER[[#This Row],[A]]*ComFactor,             TRUE, IFERROR((Tab_NewTRADER[[#This Row],[M]]-Tab_NewTRADER[[#This Row],[A]])/Tab_NewTRADER[[#This Row],[A]]*ComFactor,""))</f>
        <v>-0.94011605968259815</v>
      </c>
      <c r="BA81" s="762" cm="1">
        <f t="array" aca="1" ref="BA81" ca="1">_xlfn.IFS(               Tab_NewTRADER[[#This Row],[Trap_vs_Last]]=NoStock,(Tab_NewTRADER[[#This Row],[L_Sp]]-Tab_NewTRADER[[#This Row],[M]])/Tab_NewTRADER[[#This Row],[M]]-Commission,             Tab_NewTRADER[[#This Row],[A]]&lt;&gt;0,(Tab_NewTRADER[[#This Row],[A]]-Tab_NewTRADER[[#This Row],[M]])/Tab_NewTRADER[[#This Row],[M]]-Commission)</f>
        <v>16.408911751348736</v>
      </c>
      <c r="BB81" s="324">
        <f ca="1">_xlfn.XLOOKUP(Tab_NewTRADER[[#This Row],[ClickTick]],TabCalc[Ticker],TabCalc[L_Sn])</f>
        <v>0</v>
      </c>
      <c r="BC81" s="728">
        <f ca="1">_xlfn.XLOOKUP(Tab_NewTRADER[[#This Row],[ClickTick]],TabCalc[Ticker],TabCalc[L_Sp])</f>
        <v>0</v>
      </c>
      <c r="BD81" s="764">
        <f ca="1">-IFERROR((Tab_NewTRADER[[#This Row],[M]]-Tab_NewTRADER[[#This Row],[L_Sp]])/Tab_NewTRADER[[#This Row],[L_Sp]],0)</f>
        <v>0</v>
      </c>
      <c r="BE81" s="729">
        <f ca="1">MIN(Tab_NewTRADER[[#This Row],[L_Sn]],Tab_NewTRADER[[#This Row],[N]])*(Tab_NewTRADER[[#This Row],[M]]-Tab_NewTRADER[[#This Row],[L_Sp]])*(1-Commission)*Tab_NewTRADER[[#This Row],[Scale]]</f>
        <v>0</v>
      </c>
      <c r="BF81" s="692">
        <f ca="1">Tab_NewTRADER[[#This Row],[L_Sn]]*(Tab_NewTRADER[[#This Row],[Agiotage]]-Tab_NewTRADER[[#This Row],[M]])/(Tab_NewTRADER[[#This Row],[L_Bn]]*Tab_NewTRADER[[#This Row],[M]])</f>
        <v>0</v>
      </c>
      <c r="BG81" s="635">
        <f ca="1">IFERROR((Tab_NewTRADER[[#This Row],[M]]-Tab_NewTRADER[[#This Row],[A]])/Tab_NewTRADER[[#This Row],[A]],0)</f>
        <v>-0.94256673318888928</v>
      </c>
      <c r="BH81" s="638" t="str">
        <f ca="1">TEXT(_xlfn.XLOOKUP(Tab_NewTRADER[[#This Row],[ClickTick]],TabCalc[Ticker],TabCalc[NAfter]),"#,#0")&amp;" : "&amp;TEXT(_xlfn.XLOOKUP(Tab_NewTRADER[[#This Row],[ClickTick]],TabCalc[Ticker],TabCalc[NAfter])*(Tab_NewTRADER[[#This Row],[M]]-Tab_NewTRADER[[#This Row],[A]])*(1-Commission)*Tab_NewTRADER[[#This Row],[Scale]],"#,#0$")</f>
        <v>15,518 : -316,245$</v>
      </c>
      <c r="BI81" s="684">
        <f ca="1">_xlfn.XLOOKUP(Tab_NewTRADER[[#This Row],[ClickTick]],TabCalc[[#This Row],[Ticker]],TabCalc[[#This Row],[GL]])*(1-Commission)</f>
        <v>-316244.55078200001</v>
      </c>
      <c r="BJ81" s="684"/>
      <c r="BK81" s="669" t="str">
        <f ca="1">Tab_NewTRADER[[#This Row],[ClickTick]]&amp;": "&amp;_xlfn.XLOOKUP(Tab_NewTRADER[[#This Row],[ClickTick]],TabCalc[Ticker],TabCalc[Pile?])</f>
        <v>LAZR: Pile</v>
      </c>
      <c r="BL81" s="351" t="s">
        <v>2018</v>
      </c>
      <c r="BM81" s="755" t="str" cm="1">
        <f t="array" aca="1" ref="BM81" ca="1">_xlfn.TEXTJOIN("",,INDEX({"M","A","Y"}, _xlfn.SORTBY({1,2,3}, -CHOOSE({1,2,3}, Tab_NewTRADER[[#This Row],[M]], Tab_NewTRADER[[#This Row],[A]], Tab_NewTRADER[[#This Row],[Agiotage]]))))</f>
        <v>AMY</v>
      </c>
      <c r="BN81" s="909" cm="1">
        <f t="array" aca="1" ref="BN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4.1726907630522083</v>
      </c>
      <c r="BO81" s="679" t="e">
        <f ca="1">Tab_NewTRADER[[#This Row],[L_Sn]]*Tab_NewTRADER[[#This Row],[L_Sp]]+Tab_NewTRADER[[#This Row],[SellMore]]*Tab_NewTRADER[[#This Row],[M]]</f>
        <v>#N/A</v>
      </c>
      <c r="BP81" s="679" t="e">
        <f ca="1">INDEX(
  INDEX(TabConsolid[], , _xlfn.XMATCH(Tab_NewTRADER[[#This Row],[ClickTick]]&amp;1, TabConsolid[#Headers])),
  MATCH(
    -Tab_NewTRADER[[#This Row],[M]],
    INDEX(TabConsolid[], , _xlfn.XMATCH(Tab_NewTRADER[[#This Row],[ClickTick]]&amp;2, TabConsolid[#Headers])),
    -1
  )
)</f>
        <v>#N/A</v>
      </c>
      <c r="BQ81" s="679" cm="1">
        <f t="array" aca="1" ref="BQ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81" s="1156" t="e">
        <f ca="1">Tab_NewTRADER[[#This Row],[ReBuy]]/(Tab_NewTRADER[[#This Row],[L_Sn]]+Tab_NewTRADER[[#This Row],[SellMore]])</f>
        <v>#N/A</v>
      </c>
      <c r="BS81" s="687" t="e">
        <f ca="1">((_xlfn.XLOOKUP(Tab_NewTRADER[[#This Row],[ClickTick]],TabCalc[Ticker],TabCalc[NAfter])+Tab_NewTRADER[[#This Row],[L_Sn]])*(Tab_NewTRADER[[#This Row],[Agiotage]]-Tab_NewTRADER[[#This Row],[M]]))/(Tab_NewTRADER[[#This Row],[L_Sn]]*_xlfn.XLOOKUP(Tab_NewTRADER[[#This Row],[ClickTick]],TabCalc[Ticker],TabCalc[NAfter]))</f>
        <v>#DIV/0!</v>
      </c>
      <c r="BT81" s="687">
        <f ca="1">(Tab_NewTRADER[[#This Row],[M]]-Tab_NewTRADER[[#This Row],[Agiotage]])/(Tab_NewTRADER[[#This Row],[M]]-Tab_NewTRADER[[#This Row],[A]])-1</f>
        <v>-1.0435089726963995</v>
      </c>
      <c r="BU81" s="1277">
        <f ca="1">_xlfn.XMATCH(Tab_NewTRADER[[#This Row],[ClickTick]]&amp;1, TabConsolid[#Headers])</f>
        <v>239</v>
      </c>
      <c r="BV81" t="str">
        <f ca="1">IF(ABS(Tab_NewTRADER[[#This Row],[L_Bp]])&gt;=Tab_NewTRADER[[#This Row],[M]],"OK")</f>
        <v>OK</v>
      </c>
    </row>
    <row r="82" spans="1:74"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+2,001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5.2%</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3,902</v>
      </c>
      <c r="F82" s="226" t="str">
        <f ca="1">TRUNC(TabCalc[[#This Row],[L_B1p]],2)&amp;"x"&amp;TabCalc[[#This Row],[L_B1n]]&amp;"=   "&amp;TEXT(TabCalc[[#This Row],[ReverseS1]],"#,#0")&amp;"$"</f>
        <v>-33.84x1200=   -1,770$</v>
      </c>
      <c r="G82" s="225" t="str">
        <f ca="1">IFERROR(TRUNC(_xlfn.XLOOKUP(Tab_NewTRADER[[#This Row],[ClickTick]],TabCalc[Ticker],ListLastSalep),2)&amp;"x"&amp;_xlfn.XLOOKUP(Tab_NewTRADER[[#This Row],[ClickTick]],TabCalc[Ticker],ListLastSalen)&amp;"=   "&amp;TEXT(-_xlfn.XLOOKUP(Tab_NewTRADER[[#This Row],[ClickTick]],TabCalc[Ticker],ListReverseB),"#,#0")&amp;"$","")</f>
        <v>33.64x1200=   -1,538$</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3,902</v>
      </c>
      <c r="I82" s="226" t="str">
        <f ca="1">IFERROR(TRUNC(TabCalc[[#This Row],[L_S1p]],2)&amp;"x"&amp;TabCalc[[#This Row],[L_S1n]]&amp;"=   "&amp;TEXT(TabCalc[[#This Row],[ReverseB1]],"#,#0"),"")</f>
        <v>28.54x2000=   -7,650</v>
      </c>
      <c r="J82" s="295">
        <f ca="1">_xlfn.XLOOKUP(Tab_NewTRADER[[#This Row],[ClickTick]],TabCalc[Ticker],ListGravity)</f>
        <v>1.0527940676656882</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0.64167079567908047</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5.4323818955351391E-2</v>
      </c>
      <c r="S82" s="683">
        <f ca="1">_xlfn.XLOOKUP(Tab_NewTRADER[[#This Row],[ClickTick]],TabCalc[Ticker],TabCalc[Rev(MinStock)])*(1-Commission)</f>
        <v>1995.9170880000042</v>
      </c>
      <c r="T82" s="782">
        <f ca="1">_xlfn.XLOOKUP(Tab_NewTRADER[[#This Row],[ClickTick]],TabCalc[Ticker],TabCalc[Agiotage])</f>
        <v>0.64167079567908047</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1,446/1,446=&gt;2.7% / 2.7%</v>
      </c>
      <c r="V82" s="739" t="str">
        <f ca="1">_xlfn.XLOOKUP(Tab_NewTRADER[[#This Row],[ClickTick]],[1]!RTData[Ticker_Symbol],[1]!RTData[Currency])</f>
        <v>USD</v>
      </c>
      <c r="W82" s="749">
        <f ca="1">_xlfn.XLOOKUP(Tab_NewTRADER[[#This Row],[ClickTick]],TabCalc[Ticker],TabCalc[M])</f>
        <v>32.365000000000002</v>
      </c>
      <c r="X82" s="1343"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-19/39 K$</v>
      </c>
      <c r="AE82" s="1195" t="str" cm="1">
        <f t="array" aca="1" ref="AE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2" s="1177" t="str" cm="1">
        <f t="array" aca="1" ref="AF82" ca="1">_xlfn.IFS(       Tab_NewTRADER[[#This Row],[Trap_vs_Last]]=RePurchaseGain,TEXT(Tab_NewTRADER[[#This Row],[L_Sn]],"#,#0")&amp;" x "&amp;TEXT(Tab_NewTRADER[[#This Row],[L_Sp]],"#,#0.#0"),     Tab_NewTRADER[[#This Row],[Trap_vs_Last]]=ReSaleGain,Tab_NewTRADER[[#This Row],[ToSell]],               TRUE,"")</f>
        <v>1,200 x 33.65</v>
      </c>
      <c r="AG82" s="1177" cm="1">
        <f t="array" aca="1" ref="AG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1533.831641999994</v>
      </c>
      <c r="AH82" s="1370" t="str">
        <f ca="1">TEXT(MIN(Tab_NewTRADER[[#This Row],[L_Bn]],Tab_NewTRADER[[#This Row],[N]]),"#,#0")&amp;" x "&amp;TEXT(Tab_NewTRADER[[#This Row],[L_Bp]],"#,#0.#0")</f>
        <v>1,200 x -30.70</v>
      </c>
      <c r="AI82" s="1370">
        <f ca="1">IF(Tab_NewTRADER[[#This Row],[M]]&lt;_xlfn.XLOOKUP(Tab_NewTRADER[[#This Row],[ClickTick]],TabCalc[Ticker],TabCalc[Max_Buy_P]), 0,Tab_NewTRADER[[#This Row],[Sale_Back_$]])</f>
        <v>1995.9170880000042</v>
      </c>
      <c r="AJ82" s="1370" t="str">
        <f ca="1">TEXT(Tab_NewTRADER[[#This Row],[L_Sn]],"#,#0")&amp;" ("&amp;Tab_NewTRADER[[#This Row],[M]]&amp;"/"&amp;TEXT(Tab_NewTRADER[[#This Row],[L_Sp]],"#,#0.#0)")</f>
        <v>1,200 (32.365/33.65)</v>
      </c>
      <c r="AK82" s="1370">
        <f ca="1">IF(Tab_NewTRADER[[#This Row],[M]]&lt;_xlfn.XLOOKUP(Tab_NewTRADER[[#This Row],[ClickTick]],TabCalc[Ticker],TabCalc[Max_Buy_P]), -Tab_NewTRADER[[#This Row],[Buy_Back]], 0)</f>
        <v>0</v>
      </c>
      <c r="AL82" s="1177" t="str" cm="1">
        <f t="array" aca="1" ref="AL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2" s="1177">
        <f ca="1">Tab_NewTRADER[[#This Row],[N]]*(Tab_NewTRADER[[#This Row],[M]]-Tab_NewTRADER[[#This Row],[A]])*(1-Commission)*Tab_NewTRADER[[#This Row],[Scale]]</f>
        <v>1995.9170880000042</v>
      </c>
      <c r="AN82" s="1177">
        <f ca="1">Tab_NewTRADER[[#This Row],[M]]*Tab_NewTRADER[[#This Row],[N]]*(1-Commission)*Tab_NewTRADER[[#This Row],[Scale]]</f>
        <v>38737.021199999996</v>
      </c>
      <c r="AO82" s="1186" cm="1">
        <f t="array" aca="1" ref="AO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3.8087885747487893E-2</v>
      </c>
      <c r="AP82" s="1186" t="str" cm="1">
        <f t="array" aca="1" ref="AP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Tab_NewTRADER[[#This Row],[Trap_vs_Last]]=SellMorePercentGain,                     MIN(Tab_NewTRADER[[#This Row],[L_Sn]],Tab_NewTRADER[[#This Row],[N]])*(Tab_NewTRADER[[#This Row],[M]]-Tab_NewTRADER[[#This Row],[L_Sp]])*(1-Commission)*Tab_NewTRADER[[#This Row],[Scale]],                    TRUE,"")</f>
        <v/>
      </c>
      <c r="AR82" s="1175">
        <f ca="1">_xlfn.XLOOKUP(Tab_NewTRADER[[#This Row],[ClickTick]],TabCalc[Ticker],TabCalc[Ann%RevLB])</f>
        <v>6.9844910085451795E-2</v>
      </c>
      <c r="AS82" s="1282">
        <f ca="1">_xlfn.XLOOKUP(Tab_NewTRADER[[#This Row],[ClickTick]],TabCalc[Ticker],TabCalc[Up20])</f>
        <v>0</v>
      </c>
      <c r="AT82" s="1187" t="str" cm="1">
        <f t="array" aca="1" ref="AT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2" s="825" t="str" cm="1">
        <f t="array" aca="1" ref="AU82" ca="1">_xlfn.IFS(         Tab_NewTRADER[[#This Row],[Trap_vs_Last]]=MDown,Tab_NewTRADER[[#This Row],[L_Bn]]*Tab_NewTRADER[[#This Row],[M]]*(-(Tab_NewTRADER[[#This Row],[L_Bp]]+Tab_NewTRADER[[#This Row],[M]])/Tab_NewTRADER[[#This Row],[M]])*(1-Commission)*Tab_NewTRADER[[#This Row],[Scale]],                               TRUE,"")</f>
        <v/>
      </c>
      <c r="AV82" s="1186" t="str" cm="1">
        <f t="array" aca="1" ref="AV82" ca="1">_xlfn.IFS(   Tab_NewTRADER[[#This Row],[Trap_vs_Last]]=MUp,Tab_NewTRADER[[#This Row],[TakeGain_A]]-Commission,        Tab_NewTRADER[[#This Row],[Trap_vs_Last]]=MDown,(Tab_NewTRADER[[#This Row],[A]]-Tab_NewTRADER[[#This Row],[M]])/Tab_NewTRADER[[#This Row],[M]]-Commission,                              TRUE,"")</f>
        <v/>
      </c>
      <c r="AW82" s="825" cm="1">
        <f t="array" aca="1" ref="AW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1995.9170880000042</v>
      </c>
      <c r="AX82" s="760" t="str" cm="1">
        <f t="array" aca="1" ref="AX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82" s="736" t="str" cm="1">
        <f t="array" aca="1" ref="AY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2" s="765" cm="1">
        <f t="array" aca="1" ref="AZ82" ca="1">_xlfn.IFS(Tab_NewTRADER[[#This Row],[Trap_vs_Last]]=ReSaleGain,"",         Tab_NewTRADER[[#This Row],[Trap_vs_Last]]=MDown, (Tab_NewTRADER[[#This Row],[M]]-Tab_NewTRADER[[#This Row],[A]])/Tab_NewTRADER[[#This Row],[A]]*ComFactor,             TRUE, IFERROR((Tab_NewTRADER[[#This Row],[M]]-Tab_NewTRADER[[#This Row],[A]])/Tab_NewTRADER[[#This Row],[A]]*ComFactor,""))</f>
        <v>5.4182577026067477E-2</v>
      </c>
      <c r="BA82" s="762" cm="1">
        <f t="array" aca="1" ref="BA82" ca="1">_xlfn.IFS(               Tab_NewTRADER[[#This Row],[Trap_vs_Last]]=NoStock,(Tab_NewTRADER[[#This Row],[L_Sp]]-Tab_NewTRADER[[#This Row],[M]])/Tab_NewTRADER[[#This Row],[M]]-Commission,             Tab_NewTRADER[[#This Row],[A]]&lt;&gt;0,(Tab_NewTRADER[[#This Row],[A]]-Tab_NewTRADER[[#This Row],[M]])/Tab_NewTRADER[[#This Row],[M]]-Commission)</f>
        <v>-5.4124795303568778E-2</v>
      </c>
      <c r="BB82" s="324">
        <f ca="1">_xlfn.XLOOKUP(Tab_NewTRADER[[#This Row],[ClickTick]],TabCalc[Ticker],TabCalc[L_Sn])</f>
        <v>1200</v>
      </c>
      <c r="BC82" s="728">
        <f ca="1">_xlfn.XLOOKUP(Tab_NewTRADER[[#This Row],[ClickTick]],TabCalc[Ticker],TabCalc[L_Sp])</f>
        <v>33.646524999999997</v>
      </c>
      <c r="BD82" s="764">
        <f ca="1">-IFERROR((Tab_NewTRADER[[#This Row],[M]]-Tab_NewTRADER[[#This Row],[L_Sp]])/Tab_NewTRADER[[#This Row],[L_Sp]],0)</f>
        <v>3.8087885747487893E-2</v>
      </c>
      <c r="BE82" s="729">
        <f ca="1">MIN(Tab_NewTRADER[[#This Row],[L_Sn]],Tab_NewTRADER[[#This Row],[N]])*(Tab_NewTRADER[[#This Row],[M]]-Tab_NewTRADER[[#This Row],[L_Sp]])*(1-Commission)*Tab_NewTRADER[[#This Row],[Scale]]</f>
        <v>-1533.831641999994</v>
      </c>
      <c r="BF82" s="692">
        <f ca="1">Tab_NewTRADER[[#This Row],[L_Sn]]*(Tab_NewTRADER[[#This Row],[Agiotage]]-Tab_NewTRADER[[#This Row],[M]])/(Tab_NewTRADER[[#This Row],[L_Bn]]*Tab_NewTRADER[[#This Row],[M]])</f>
        <v>-0.98017392876010878</v>
      </c>
      <c r="BG82" s="635">
        <f ca="1">IFERROR((Tab_NewTRADER[[#This Row],[M]]-Tab_NewTRADER[[#This Row],[A]])/Tab_NewTRADER[[#This Row],[A]],0)</f>
        <v>5.4323818955351391E-2</v>
      </c>
      <c r="BH82" s="638" t="str">
        <f ca="1">TEXT(_xlfn.XLOOKUP(Tab_NewTRADER[[#This Row],[ClickTick]],TabCalc[Ticker],TabCalc[NAfter]),"#,#0")&amp;" : "&amp;TEXT(_xlfn.XLOOKUP(Tab_NewTRADER[[#This Row],[ClickTick]],TabCalc[Ticker],TabCalc[NAfter])*(Tab_NewTRADER[[#This Row],[M]]-Tab_NewTRADER[[#This Row],[A]])*(1-Commission)*Tab_NewTRADER[[#This Row],[Scale]],"#,#0$")</f>
        <v>1,200 : 1,996$</v>
      </c>
      <c r="BI82" s="684">
        <f ca="1">_xlfn.XLOOKUP(Tab_NewTRADER[[#This Row],[ClickTick]],TabCalc[[#This Row],[Ticker]],TabCalc[[#This Row],[GL]])*(1-Commission)</f>
        <v>-18913.147630000003</v>
      </c>
      <c r="BJ82" s="684"/>
      <c r="BK82" s="669" t="str">
        <f ca="1">Tab_NewTRADER[[#This Row],[ClickTick]]&amp;": "&amp;_xlfn.XLOOKUP(Tab_NewTRADER[[#This Row],[ClickTick]],TabCalc[Ticker],TabCalc[Pile?])</f>
        <v xml:space="preserve">LUV: </v>
      </c>
      <c r="BL82" s="351" t="s">
        <v>2019</v>
      </c>
      <c r="BM82" s="755" t="str" cm="1">
        <f t="array" aca="1" ref="BM82" ca="1">_xlfn.TEXTJOIN("",,INDEX({"M","A","Y"}, _xlfn.SORTBY({1,2,3}, -CHOOSE({1,2,3}, Tab_NewTRADER[[#This Row],[M]], Tab_NewTRADER[[#This Row],[A]], Tab_NewTRADER[[#This Row],[Agiotage]]))))</f>
        <v>MAY</v>
      </c>
      <c r="BN82" s="909" t="str" cm="1">
        <f t="array" aca="1" ref="BN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2" s="679">
        <f ca="1">Tab_NewTRADER[[#This Row],[L_Sn]]*Tab_NewTRADER[[#This Row],[L_Sp]]+Tab_NewTRADER[[#This Row],[SellMore]]*Tab_NewTRADER[[#This Row],[M]]</f>
        <v>79213.829999999987</v>
      </c>
      <c r="BP82" s="679">
        <f ca="1">INDEX(
  INDEX(TabConsolid[], , _xlfn.XMATCH(Tab_NewTRADER[[#This Row],[ClickTick]]&amp;1, TabConsolid[#Headers])),
  MATCH(
    -Tab_NewTRADER[[#This Row],[M]],
    INDEX(TabConsolid[], , _xlfn.XMATCH(Tab_NewTRADER[[#This Row],[ClickTick]]&amp;2, TabConsolid[#Headers])),
    -1
  )
)</f>
        <v>1200</v>
      </c>
      <c r="BQ82" s="679" cm="1">
        <f t="array" aca="1" ref="BQ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2" s="1156">
        <f ca="1">Tab_NewTRADER[[#This Row],[ReBuy]]/(Tab_NewTRADER[[#This Row],[L_Sn]]+Tab_NewTRADER[[#This Row],[SellMore]])</f>
        <v>33.005762499999996</v>
      </c>
      <c r="BS82" s="687">
        <f ca="1">((_xlfn.XLOOKUP(Tab_NewTRADER[[#This Row],[ClickTick]],TabCalc[Ticker],TabCalc[NAfter])+Tab_NewTRADER[[#This Row],[L_Sn]])*(Tab_NewTRADER[[#This Row],[Agiotage]]-Tab_NewTRADER[[#This Row],[M]]))/(Tab_NewTRADER[[#This Row],[L_Sn]]*_xlfn.XLOOKUP(Tab_NewTRADER[[#This Row],[ClickTick]],TabCalc[Ticker],TabCalc[NAfter]))</f>
        <v>-5.2872215340534864E-2</v>
      </c>
      <c r="BT82" s="687">
        <f ca="1">(Tab_NewTRADER[[#This Row],[M]]-Tab_NewTRADER[[#This Row],[Agiotage]])/(Tab_NewTRADER[[#This Row],[M]]-Tab_NewTRADER[[#This Row],[A]])-1</f>
        <v>18.02334444970068</v>
      </c>
      <c r="BU82" s="1277">
        <f ca="1">_xlfn.XMATCH(Tab_NewTRADER[[#This Row],[ClickTick]]&amp;1, TabConsolid[#Headers])</f>
        <v>242</v>
      </c>
      <c r="BV82" t="b">
        <f ca="1">IF(ABS(Tab_NewTRADER[[#This Row],[L_Bp]])&gt;=Tab_NewTRADER[[#This Row],[M]],"OK")</f>
        <v>0</v>
      </c>
    </row>
    <row r="83" spans="1:74"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-1,459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898$</v>
      </c>
      <c r="G83" s="225" t="str">
        <f ca="1">IFERROR(TRUNC(_xlfn.XLOOKUP(Tab_NewTRADER[[#This Row],[ClickTick]],TabCalc[Ticker],ListLastSalep),2)&amp;"x"&amp;_xlfn.XLOOKUP(Tab_NewTRADER[[#This Row],[ClickTick]],TabCalc[Ticker],ListLastSalen)&amp;"=   "&amp;TEXT(-_xlfn.XLOOKUP(Tab_NewTRADER[[#This Row],[ClickTick]],TabCalc[Ticker],ListReverseB),"#,#0")&amp;"$","")</f>
        <v>592.68x100=   -4,138$</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7.5% = 121</v>
      </c>
      <c r="I83" s="226" t="str">
        <f ca="1">IFERROR(TRUNC(TabCalc[[#This Row],[L_S1p]],2)&amp;"x"&amp;TabCalc[[#This Row],[L_S1n]]&amp;"=   "&amp;TEXT(TabCalc[[#This Row],[ReverseB1]],"#,#0"),"")</f>
        <v>546.67x100=   -463</v>
      </c>
      <c r="J83" s="295">
        <f ca="1">_xlfn.XLOOKUP(Tab_NewTRADER[[#This Row],[ClickTick]],TabCalc[Ticker],ListGravity)</f>
        <v>1.1884739706149103</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0.61408189407985569</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-2.5782395871989314E-2</v>
      </c>
      <c r="S83" s="683">
        <f ca="1">_xlfn.XLOOKUP(Tab_NewTRADER[[#This Row],[ClickTick]],TabCalc[Ticker],TabCalc[Rev(MinStock)])*(1-Commission)</f>
        <v>-1455.2066000000032</v>
      </c>
      <c r="T83" s="782">
        <f ca="1">_xlfn.XLOOKUP(Tab_NewTRADER[[#This Row],[ClickTick]],TabCalc[Ticker],TabCalc[Agiotage])</f>
        <v>0.61408189407985569</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-490/-490=&gt;-0.4% / -0.4%</v>
      </c>
      <c r="V83" s="739" t="str">
        <f ca="1">_xlfn.XLOOKUP(Tab_NewTRADER[[#This Row],[ClickTick]],[1]!RTData[Ticker_Symbol],[1]!RTData[Currency])</f>
        <v>USD</v>
      </c>
      <c r="W83" s="749">
        <f ca="1">_xlfn.XLOOKUP(Tab_NewTRADER[[#This Row],[ClickTick]],TabCalc[Ticker],TabCalc[M])</f>
        <v>551.29999999999995</v>
      </c>
      <c r="X83" s="1343"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110 K$</v>
      </c>
      <c r="AE83" s="1195" t="str" cm="1">
        <f t="array" aca="1" ref="AE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3" s="1177" t="str" cm="1">
        <f t="array" aca="1" ref="AF83" ca="1">_xlfn.IFS(       Tab_NewTRADER[[#This Row],[Trap_vs_Last]]=RePurchaseGain,TEXT(Tab_NewTRADER[[#This Row],[L_Sn]],"#,#0")&amp;" x "&amp;TEXT(Tab_NewTRADER[[#This Row],[L_Sp]],"#,#0.#0"),     Tab_NewTRADER[[#This Row],[Trap_vs_Last]]=ReSaleGain,Tab_NewTRADER[[#This Row],[ToSell]],               TRUE,"")</f>
        <v/>
      </c>
      <c r="AG83" s="1177" t="str" cm="1">
        <f t="array" aca="1" ref="AG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H83" s="1370" t="str">
        <f ca="1">TEXT(MIN(Tab_NewTRADER[[#This Row],[L_Bn]],Tab_NewTRADER[[#This Row],[N]]),"#,#0")&amp;" x "&amp;TEXT(Tab_NewTRADER[[#This Row],[L_Bp]],"#,#0.#0")</f>
        <v>100 x -565.89</v>
      </c>
      <c r="AI83" s="1370">
        <f ca="1">IF(Tab_NewTRADER[[#This Row],[M]]&lt;_xlfn.XLOOKUP(Tab_NewTRADER[[#This Row],[ClickTick]],TabCalc[Ticker],TabCalc[Max_Buy_P]), 0,Tab_NewTRADER[[#This Row],[Sale_Back_$]])</f>
        <v>0</v>
      </c>
      <c r="AJ83" s="1370" t="str">
        <f ca="1">TEXT(Tab_NewTRADER[[#This Row],[L_Sn]],"#,#0")&amp;" ("&amp;Tab_NewTRADER[[#This Row],[M]]&amp;"/"&amp;TEXT(Tab_NewTRADER[[#This Row],[L_Sp]],"#,#0.#0)")</f>
        <v>100 (551.3/592.68)</v>
      </c>
      <c r="AK83" s="1370">
        <f ca="1">IF(Tab_NewTRADER[[#This Row],[M]]&lt;_xlfn.XLOOKUP(Tab_NewTRADER[[#This Row],[ClickTick]],TabCalc[Ticker],TabCalc[Max_Buy_P]), -Tab_NewTRADER[[#This Row],[Buy_Back]], 0)</f>
        <v>4127.2411999999995</v>
      </c>
      <c r="AL83" s="1177" cm="1">
        <f t="array" aca="1" ref="AL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1455.2066000000032</v>
      </c>
      <c r="AM83" s="1177">
        <f ca="1">Tab_NewTRADER[[#This Row],[N]]*(Tab_NewTRADER[[#This Row],[M]]-Tab_NewTRADER[[#This Row],[A]])*(1-Commission)*Tab_NewTRADER[[#This Row],[Scale]]</f>
        <v>-1007.3740000000136</v>
      </c>
      <c r="AN83" s="1177">
        <f ca="1">Tab_NewTRADER[[#This Row],[M]]*Tab_NewTRADER[[#This Row],[N]]*(1-Commission)*Tab_NewTRADER[[#This Row],[Scale]]</f>
        <v>109973.32399999998</v>
      </c>
      <c r="AO83" s="1186" cm="1">
        <f t="array" aca="1" ref="AO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9.0770198615980364E-3</v>
      </c>
      <c r="AP83" s="1186" cm="1">
        <f t="array" aca="1" ref="AP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2.3864719753310421E-2</v>
      </c>
      <c r="AQ83" s="825" t="str" cm="1">
        <f t="array" aca="1" ref="AQ83" ca="1">_xlfn.IFS(   Tab_NewTRADER[[#This Row],[Trap_vs_Last]]=SellMorePercentGain,                     MIN(Tab_NewTRADER[[#This Row],[L_Sn]],Tab_NewTRADER[[#This Row],[N]])*(Tab_NewTRADER[[#This Row],[M]]-Tab_NewTRADER[[#This Row],[L_Sp]])*(1-Commission)*Tab_NewTRADER[[#This Row],[Scale]],                    TRUE,"")</f>
        <v/>
      </c>
      <c r="AR83" s="1175">
        <f ca="1">_xlfn.XLOOKUP(Tab_NewTRADER[[#This Row],[ClickTick]],TabCalc[Ticker],TabCalc[Ann%RevLB])</f>
        <v>-0.21094687531627621</v>
      </c>
      <c r="AS83" s="1282">
        <f ca="1">_xlfn.XLOOKUP(Tab_NewTRADER[[#This Row],[ClickTick]],TabCalc[Ticker],TabCalc[Up20])</f>
        <v>0</v>
      </c>
      <c r="AT83" s="1187" cm="1">
        <f t="array" aca="1" ref="AT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2.6464719753310419E-2</v>
      </c>
      <c r="AU83" s="825" cm="1">
        <f t="array" aca="1" ref="AU83" ca="1">_xlfn.IFS(         Tab_NewTRADER[[#This Row],[Trap_vs_Last]]=MDown,Tab_NewTRADER[[#This Row],[L_Bn]]*Tab_NewTRADER[[#This Row],[M]]*(-(Tab_NewTRADER[[#This Row],[L_Bp]]+Tab_NewTRADER[[#This Row],[M]])/Tab_NewTRADER[[#This Row],[M]])*(1-Commission)*Tab_NewTRADER[[#This Row],[Scale]],                               TRUE,"")</f>
        <v>1455.2066000000032</v>
      </c>
      <c r="AV83" s="1186" cm="1">
        <f t="array" aca="1" ref="AV83" ca="1">_xlfn.IFS(   Tab_NewTRADER[[#This Row],[Trap_vs_Last]]=MUp,Tab_NewTRADER[[#This Row],[TakeGain_A]]-Commission,        Tab_NewTRADER[[#This Row],[Trap_vs_Last]]=MDown,(Tab_NewTRADER[[#This Row],[A]]-Tab_NewTRADER[[#This Row],[M]])/Tab_NewTRADER[[#This Row],[M]]-Commission,                              TRUE,"")</f>
        <v>6.560166878287808E-3</v>
      </c>
      <c r="AW83" s="825" cm="1">
        <f t="array" aca="1" ref="AW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1007.3740000000136</v>
      </c>
      <c r="AX83" s="760" t="str" cm="1">
        <f t="array" aca="1" ref="AX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83" s="736" cm="1">
        <f t="array" aca="1" ref="AY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-14.59</v>
      </c>
      <c r="AZ83" s="765" cm="1">
        <f t="array" aca="1" ref="AZ83" ca="1">_xlfn.IFS(Tab_NewTRADER[[#This Row],[Trap_vs_Last]]=ReSaleGain,"",         Tab_NewTRADER[[#This Row],[Trap_vs_Last]]=MDown, (Tab_NewTRADER[[#This Row],[M]]-Tab_NewTRADER[[#This Row],[A]])/Tab_NewTRADER[[#This Row],[A]]*ComFactor,             TRUE, IFERROR((Tab_NewTRADER[[#This Row],[M]]-Tab_NewTRADER[[#This Row],[A]])/Tab_NewTRADER[[#This Row],[A]]*ComFactor,""))</f>
        <v>-9.0534196099578811E-3</v>
      </c>
      <c r="BA83" s="762" cm="1">
        <f t="array" aca="1" ref="BA83" ca="1">_xlfn.IFS(               Tab_NewTRADER[[#This Row],[Trap_vs_Last]]=NoStock,(Tab_NewTRADER[[#This Row],[L_Sp]]-Tab_NewTRADER[[#This Row],[M]])/Tab_NewTRADER[[#This Row],[M]]-Commission,             Tab_NewTRADER[[#This Row],[A]]&lt;&gt;0,(Tab_NewTRADER[[#This Row],[A]]-Tab_NewTRADER[[#This Row],[M]])/Tab_NewTRADER[[#This Row],[M]]-Commission)</f>
        <v>6.560166878287808E-3</v>
      </c>
      <c r="BB83" s="324">
        <f ca="1">_xlfn.XLOOKUP(Tab_NewTRADER[[#This Row],[ClickTick]],TabCalc[Ticker],TabCalc[L_Sn])</f>
        <v>100</v>
      </c>
      <c r="BC83" s="728">
        <f ca="1">_xlfn.XLOOKUP(Tab_NewTRADER[[#This Row],[ClickTick]],TabCalc[Ticker],TabCalc[L_Sp])</f>
        <v>592.67999999999995</v>
      </c>
      <c r="BD83" s="764">
        <f ca="1">-IFERROR((Tab_NewTRADER[[#This Row],[M]]-Tab_NewTRADER[[#This Row],[L_Sp]])/Tab_NewTRADER[[#This Row],[L_Sp]],0)</f>
        <v>6.9818451778362683E-2</v>
      </c>
      <c r="BE83" s="729">
        <f ca="1">MIN(Tab_NewTRADER[[#This Row],[L_Sn]],Tab_NewTRADER[[#This Row],[N]])*(Tab_NewTRADER[[#This Row],[M]]-Tab_NewTRADER[[#This Row],[L_Sp]])*(1-Commission)*Tab_NewTRADER[[#This Row],[Scale]]</f>
        <v>-4127.2411999999995</v>
      </c>
      <c r="BF83" s="692">
        <f ca="1">Tab_NewTRADER[[#This Row],[L_Sn]]*(Tab_NewTRADER[[#This Row],[Agiotage]]-Tab_NewTRADER[[#This Row],[M]])/(Tab_NewTRADER[[#This Row],[L_Bn]]*Tab_NewTRADER[[#This Row],[M]])</f>
        <v>-0.99888612027193946</v>
      </c>
      <c r="BG83" s="635">
        <f ca="1">IFERROR((Tab_NewTRADER[[#This Row],[M]]-Tab_NewTRADER[[#This Row],[A]])/Tab_NewTRADER[[#This Row],[A]],0)</f>
        <v>-9.0770198615980364E-3</v>
      </c>
      <c r="BH83" s="638" t="str">
        <f ca="1">TEXT(_xlfn.XLOOKUP(Tab_NewTRADER[[#This Row],[ClickTick]],TabCalc[Ticker],TabCalc[NAfter]),"#,#0")&amp;" : "&amp;TEXT(_xlfn.XLOOKUP(Tab_NewTRADER[[#This Row],[ClickTick]],TabCalc[Ticker],TabCalc[NAfter])*(Tab_NewTRADER[[#This Row],[M]]-Tab_NewTRADER[[#This Row],[A]])*(1-Commission)*Tab_NewTRADER[[#This Row],[Scale]],"#,#0$")</f>
        <v>200 : -1,007$</v>
      </c>
      <c r="BI83" s="684">
        <f ca="1">_xlfn.XLOOKUP(Tab_NewTRADER[[#This Row],[ClickTick]],TabCalc[[#This Row],[Ticker]],TabCalc[[#This Row],[GL]])*(1-Commission)</f>
        <v>47485.973626599975</v>
      </c>
      <c r="BJ83" s="684"/>
      <c r="BK83" s="669" t="str">
        <f ca="1">Tab_NewTRADER[[#This Row],[ClickTick]]&amp;": "&amp;_xlfn.XLOOKUP(Tab_NewTRADER[[#This Row],[ClickTick]],TabCalc[Ticker],TabCalc[Pile?])</f>
        <v>MA: Pile</v>
      </c>
      <c r="BL83" s="351" t="s">
        <v>2020</v>
      </c>
      <c r="BM83" s="755" t="str" cm="1">
        <f t="array" aca="1" ref="BM83" ca="1">_xlfn.TEXTJOIN("",,INDEX({"M","A","Y"}, _xlfn.SORTBY({1,2,3}, -CHOOSE({1,2,3}, Tab_NewTRADER[[#This Row],[M]], Tab_NewTRADER[[#This Row],[A]], Tab_NewTRADER[[#This Row],[Agiotage]]))))</f>
        <v>AMY</v>
      </c>
      <c r="BN83" s="909" cm="1">
        <f t="array" aca="1" ref="BN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2.6464719753310419E-2</v>
      </c>
      <c r="BO83" s="679" t="e">
        <f ca="1">Tab_NewTRADER[[#This Row],[L_Sn]]*Tab_NewTRADER[[#This Row],[L_Sp]]+Tab_NewTRADER[[#This Row],[SellMore]]*Tab_NewTRADER[[#This Row],[M]]</f>
        <v>#N/A</v>
      </c>
      <c r="BP83" s="679" t="e">
        <f ca="1">INDEX(
  INDEX(TabConsolid[], , _xlfn.XMATCH(Tab_NewTRADER[[#This Row],[ClickTick]]&amp;1, TabConsolid[#Headers])),
  MATCH(
    -Tab_NewTRADER[[#This Row],[M]],
    INDEX(TabConsolid[], , _xlfn.XMATCH(Tab_NewTRADER[[#This Row],[ClickTick]]&amp;2, TabConsolid[#Headers])),
    -1
  )
)</f>
        <v>#N/A</v>
      </c>
      <c r="BQ83" s="679" cm="1">
        <f t="array" aca="1" ref="BQ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R83" s="1156" t="e">
        <f ca="1">Tab_NewTRADER[[#This Row],[ReBuy]]/(Tab_NewTRADER[[#This Row],[L_Sn]]+Tab_NewTRADER[[#This Row],[SellMore]])</f>
        <v>#N/A</v>
      </c>
      <c r="BS83" s="687">
        <f ca="1">((_xlfn.XLOOKUP(Tab_NewTRADER[[#This Row],[ClickTick]],TabCalc[Ticker],TabCalc[NAfter])+Tab_NewTRADER[[#This Row],[L_Sn]])*(Tab_NewTRADER[[#This Row],[Agiotage]]-Tab_NewTRADER[[#This Row],[M]]))/(Tab_NewTRADER[[#This Row],[L_Sn]]*_xlfn.XLOOKUP(Tab_NewTRADER[[#This Row],[ClickTick]],TabCalc[Ticker],TabCalc[NAfter]))</f>
        <v>-8.2602887715888027</v>
      </c>
      <c r="BT83" s="687">
        <f ca="1">(Tab_NewTRADER[[#This Row],[M]]-Tab_NewTRADER[[#This Row],[Agiotage]])/(Tab_NewTRADER[[#This Row],[M]]-Tab_NewTRADER[[#This Row],[A]])-1</f>
        <v>-110.04671645661637</v>
      </c>
      <c r="BU83" s="1277">
        <f ca="1">_xlfn.XMATCH(Tab_NewTRADER[[#This Row],[ClickTick]]&amp;1, TabConsolid[#Headers])</f>
        <v>245</v>
      </c>
      <c r="BV83" t="str">
        <f ca="1">IF(ABS(Tab_NewTRADER[[#This Row],[L_Bp]])&gt;=Tab_NewTRADER[[#This Row],[M]],"OK")</f>
        <v>OK</v>
      </c>
    </row>
    <row r="84" spans="1:74"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-10,529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-31.6%</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13,449$</v>
      </c>
      <c r="G84" s="225" t="str">
        <f ca="1">IFERROR(TRUNC(_xlfn.XLOOKUP(Tab_NewTRADER[[#This Row],[ClickTick]],TabCalc[Ticker],ListLastSalep),2)&amp;"x"&amp;_xlfn.XLOOKUP(Tab_NewTRADER[[#This Row],[ClickTick]],TabCalc[Ticker],ListLastSalen)&amp;"=   "&amp;TEXT(-_xlfn.XLOOKUP(Tab_NewTRADER[[#This Row],[ClickTick]],TabCalc[Ticker],ListReverseB),"#,#0")&amp;"$","")</f>
        <v>13.35x5000=   -29,740$</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80.3% = 841</v>
      </c>
      <c r="I84" s="226" t="str">
        <f ca="1">IFERROR(TRUNC(TabCalc[[#This Row],[L_S1p]],2)&amp;"x"&amp;TabCalc[[#This Row],[L_S1n]]&amp;"=   "&amp;TEXT(TabCalc[[#This Row],[ReverseB1]],"#,#0"),"")</f>
        <v>14.95x2700=   20,361</v>
      </c>
      <c r="J84" s="295">
        <f ca="1">_xlfn.XLOOKUP(Tab_NewTRADER[[#This Row],[ClickTick]],TabCalc[Ticker],ListGravity)</f>
        <v>1.7023215008773116</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28154.2</v>
      </c>
      <c r="M84" s="323">
        <f ca="1">_xlfn.XLOOKUP(Tab_NewTRADER[[#This Row],[ClickTick]],TabCalc[Ticker],TabCalc[Agiotage])</f>
        <v>0.9044910655758166</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-0.24000902675201047</v>
      </c>
      <c r="S84" s="683">
        <f ca="1">_xlfn.XLOOKUP(Tab_NewTRADER[[#This Row],[ClickTick]],TabCalc[Ticker],TabCalc[Rev(MinStock)])*(1-Commission)</f>
        <v>-10501.724339999997</v>
      </c>
      <c r="T84" s="782">
        <f ca="1">_xlfn.XLOOKUP(Tab_NewTRADER[[#This Row],[ClickTick]],TabCalc[Ticker],TabCalc[Agiotage])</f>
        <v>0.9044910655758166</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-332/-332=&gt;-2.4% / -2.4%</v>
      </c>
      <c r="V84" s="739" t="str">
        <f ca="1">_xlfn.XLOOKUP(Tab_NewTRADER[[#This Row],[ClickTick]],[1]!RTData[Ticker_Symbol],[1]!RTData[Currency])</f>
        <v>USD</v>
      </c>
      <c r="W84" s="749">
        <f ca="1">_xlfn.XLOOKUP(Tab_NewTRADER[[#This Row],[ClickTick]],TabCalc[Ticker],TabCalc[M])</f>
        <v>7.4089999999999998</v>
      </c>
      <c r="X84" s="1343"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-86/48 K$</v>
      </c>
      <c r="AE84" s="1195" t="str" cm="1">
        <f t="array" aca="1" ref="AE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4" s="1177" t="str" cm="1">
        <f t="array" aca="1" ref="AF84" ca="1">_xlfn.IFS(       Tab_NewTRADER[[#This Row],[Trap_vs_Last]]=RePurchaseGain,TEXT(Tab_NewTRADER[[#This Row],[L_Sn]],"#,#0")&amp;" x "&amp;TEXT(Tab_NewTRADER[[#This Row],[L_Sp]],"#,#0.#0"),     Tab_NewTRADER[[#This Row],[Trap_vs_Last]]=ReSaleGain,Tab_NewTRADER[[#This Row],[ToSell]],               TRUE,"")</f>
        <v/>
      </c>
      <c r="AG84" s="1177" t="str" cm="1">
        <f t="array" aca="1" ref="AG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H84" s="1370" t="str">
        <f ca="1">TEXT(MIN(Tab_NewTRADER[[#This Row],[L_Bn]],Tab_NewTRADER[[#This Row],[N]]),"#,#0")&amp;" x "&amp;TEXT(Tab_NewTRADER[[#This Row],[L_Bp]],"#,#0.#0")</f>
        <v>4,500 x -9.75</v>
      </c>
      <c r="AI84" s="1370">
        <f ca="1">IF(Tab_NewTRADER[[#This Row],[M]]&lt;_xlfn.XLOOKUP(Tab_NewTRADER[[#This Row],[ClickTick]],TabCalc[Ticker],TabCalc[Max_Buy_P]), 0,Tab_NewTRADER[[#This Row],[Sale_Back_$]])</f>
        <v>0</v>
      </c>
      <c r="AJ84" s="1370" t="str">
        <f ca="1">TEXT(Tab_NewTRADER[[#This Row],[L_Sn]],"#,#0")&amp;" ("&amp;Tab_NewTRADER[[#This Row],[M]]&amp;"/"&amp;TEXT(Tab_NewTRADER[[#This Row],[L_Sp]],"#,#0.#0)")</f>
        <v>5,000 (7.409/13.36)</v>
      </c>
      <c r="AK84" s="1370">
        <f ca="1">IF(Tab_NewTRADER[[#This Row],[M]]&lt;_xlfn.XLOOKUP(Tab_NewTRADER[[#This Row],[ClickTick]],TabCalc[Ticker],TabCalc[Max_Buy_P]), -Tab_NewTRADER[[#This Row],[Buy_Back]], 0)</f>
        <v>29662.675999999996</v>
      </c>
      <c r="AL84" s="1177" cm="1">
        <f t="array" aca="1" ref="AL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10501.724339999997</v>
      </c>
      <c r="AM84" s="1177">
        <f ca="1">Tab_NewTRADER[[#This Row],[N]]*(Tab_NewTRADER[[#This Row],[M]]-Tab_NewTRADER[[#This Row],[A]])*(1-Commission)*Tab_NewTRADER[[#This Row],[Scale]]</f>
        <v>-6374.2836599999919</v>
      </c>
      <c r="AN84" s="1177">
        <f ca="1">Tab_NewTRADER[[#This Row],[M]]*Tab_NewTRADER[[#This Row],[N]]*(1-Commission)*Tab_NewTRADER[[#This Row],[Scale]]</f>
        <v>48033.287899999996</v>
      </c>
      <c r="AO84" s="1186" cm="1">
        <f t="array" aca="1" ref="AO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0.1171580255694837</v>
      </c>
      <c r="AP84" s="1186" cm="1">
        <f t="array" aca="1" ref="AP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0.31320510190309075</v>
      </c>
      <c r="AQ84" s="825" t="str" cm="1">
        <f t="array" aca="1" ref="AQ84" ca="1">_xlfn.IFS(   Tab_NewTRADER[[#This Row],[Trap_vs_Last]]=SellMorePercentGain,                     MIN(Tab_NewTRADER[[#This Row],[L_Sn]],Tab_NewTRADER[[#This Row],[N]])*(Tab_NewTRADER[[#This Row],[M]]-Tab_NewTRADER[[#This Row],[L_Sp]])*(1-Commission)*Tab_NewTRADER[[#This Row],[Scale]],                    TRUE,"")</f>
        <v/>
      </c>
      <c r="AR84" s="1175">
        <f ca="1">_xlfn.XLOOKUP(Tab_NewTRADER[[#This Row],[ClickTick]],TabCalc[Ticker],TabCalc[Ann%RevLB])</f>
        <v>-0.28328934305155334</v>
      </c>
      <c r="AS84" s="1282">
        <f ca="1">_xlfn.XLOOKUP(Tab_NewTRADER[[#This Row],[ClickTick]],TabCalc[Ticker],TabCalc[Up20])</f>
        <v>0</v>
      </c>
      <c r="AT84" s="1187" cm="1">
        <f t="array" aca="1" ref="AT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0.31580510190309075</v>
      </c>
      <c r="AU84" s="825" cm="1">
        <f t="array" aca="1" ref="AU84" ca="1">_xlfn.IFS(         Tab_NewTRADER[[#This Row],[Trap_vs_Last]]=MDown,Tab_NewTRADER[[#This Row],[L_Bn]]*Tab_NewTRADER[[#This Row],[M]]*(-(Tab_NewTRADER[[#This Row],[L_Bp]]+Tab_NewTRADER[[#This Row],[M]])/Tab_NewTRADER[[#This Row],[M]])*(1-Commission)*Tab_NewTRADER[[#This Row],[Scale]],                               TRUE,"")</f>
        <v>10501.724339999997</v>
      </c>
      <c r="AV84" s="1186" cm="1">
        <f t="array" aca="1" ref="AV84" ca="1">_xlfn.IFS(   Tab_NewTRADER[[#This Row],[Trap_vs_Last]]=MUp,Tab_NewTRADER[[#This Row],[TakeGain_A]]-Commission,        Tab_NewTRADER[[#This Row],[Trap_vs_Last]]=MDown,(Tab_NewTRADER[[#This Row],[A]]-Tab_NewTRADER[[#This Row],[M]])/Tab_NewTRADER[[#This Row],[M]]-Commission,                              TRUE,"")</f>
        <v>0.13010554523085216</v>
      </c>
      <c r="AW84" s="825" cm="1">
        <f t="array" aca="1" ref="AW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6374.2836599999919</v>
      </c>
      <c r="AX84" s="760" t="str" cm="1">
        <f t="array" aca="1" ref="AX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84" s="736" cm="1">
        <f t="array" aca="1" ref="AY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-2.33</v>
      </c>
      <c r="AZ84" s="765" cm="1">
        <f t="array" aca="1" ref="AZ84" ca="1">_xlfn.IFS(Tab_NewTRADER[[#This Row],[Trap_vs_Last]]=ReSaleGain,"",         Tab_NewTRADER[[#This Row],[Trap_vs_Last]]=MDown, (Tab_NewTRADER[[#This Row],[M]]-Tab_NewTRADER[[#This Row],[A]])/Tab_NewTRADER[[#This Row],[A]]*ComFactor,             TRUE, IFERROR((Tab_NewTRADER[[#This Row],[M]]-Tab_NewTRADER[[#This Row],[A]])/Tab_NewTRADER[[#This Row],[A]]*ComFactor,""))</f>
        <v>-0.11685341470300303</v>
      </c>
      <c r="BA84" s="762" cm="1">
        <f t="array" aca="1" ref="BA84" ca="1">_xlfn.IFS(               Tab_NewTRADER[[#This Row],[Trap_vs_Last]]=NoStock,(Tab_NewTRADER[[#This Row],[L_Sp]]-Tab_NewTRADER[[#This Row],[M]])/Tab_NewTRADER[[#This Row],[M]]-Commission,             Tab_NewTRADER[[#This Row],[A]]&lt;&gt;0,(Tab_NewTRADER[[#This Row],[A]]-Tab_NewTRADER[[#This Row],[M]])/Tab_NewTRADER[[#This Row],[M]]-Commission)</f>
        <v>0.13010554523085216</v>
      </c>
      <c r="BB84" s="324">
        <f ca="1">_xlfn.XLOOKUP(Tab_NewTRADER[[#This Row],[ClickTick]],TabCalc[Ticker],TabCalc[L_Sn])</f>
        <v>5000</v>
      </c>
      <c r="BC84" s="728">
        <f ca="1">_xlfn.XLOOKUP(Tab_NewTRADER[[#This Row],[ClickTick]],TabCalc[Ticker],TabCalc[L_Sp])</f>
        <v>13.356999999999999</v>
      </c>
      <c r="BD84" s="764">
        <f ca="1">-IFERROR((Tab_NewTRADER[[#This Row],[M]]-Tab_NewTRADER[[#This Row],[L_Sp]])/Tab_NewTRADER[[#This Row],[L_Sp]],0)</f>
        <v>0.44530957550348133</v>
      </c>
      <c r="BE84" s="729">
        <f ca="1">MIN(Tab_NewTRADER[[#This Row],[L_Sn]],Tab_NewTRADER[[#This Row],[N]])*(Tab_NewTRADER[[#This Row],[M]]-Tab_NewTRADER[[#This Row],[L_Sp]])*(1-Commission)*Tab_NewTRADER[[#This Row],[Scale]]</f>
        <v>-29662.675999999996</v>
      </c>
      <c r="BF84" s="692">
        <f ca="1">Tab_NewTRADER[[#This Row],[L_Sn]]*(Tab_NewTRADER[[#This Row],[Agiotage]]-Tab_NewTRADER[[#This Row],[M]])/(Tab_NewTRADER[[#This Row],[L_Bn]]*Tab_NewTRADER[[#This Row],[M]])</f>
        <v>-0.9754666148414366</v>
      </c>
      <c r="BG84" s="635">
        <f ca="1">IFERROR((Tab_NewTRADER[[#This Row],[M]]-Tab_NewTRADER[[#This Row],[A]])/Tab_NewTRADER[[#This Row],[A]],0)</f>
        <v>-0.1171580255694837</v>
      </c>
      <c r="BH84" s="638" t="str">
        <f ca="1">TEXT(_xlfn.XLOOKUP(Tab_NewTRADER[[#This Row],[ClickTick]],TabCalc[Ticker],TabCalc[NAfter]),"#,#0")&amp;" : "&amp;TEXT(_xlfn.XLOOKUP(Tab_NewTRADER[[#This Row],[ClickTick]],TabCalc[Ticker],TabCalc[NAfter])*(Tab_NewTRADER[[#This Row],[M]]-Tab_NewTRADER[[#This Row],[A]])*(1-Commission)*Tab_NewTRADER[[#This Row],[Scale]],"#,#0$")</f>
        <v>6,500 : -6,374$</v>
      </c>
      <c r="BI84" s="684">
        <f ca="1">_xlfn.XLOOKUP(Tab_NewTRADER[[#This Row],[ClickTick]],TabCalc[[#This Row],[Ticker]],TabCalc[[#This Row],[GL]])*(1-Commission)</f>
        <v>-85826.668959999995</v>
      </c>
      <c r="BJ84" s="684"/>
      <c r="BK84" s="669" t="str">
        <f ca="1">Tab_NewTRADER[[#This Row],[ClickTick]]&amp;": "&amp;_xlfn.XLOOKUP(Tab_NewTRADER[[#This Row],[ClickTick]],TabCalc[Ticker],TabCalc[Pile?])</f>
        <v xml:space="preserve">NVAX: </v>
      </c>
      <c r="BL84" s="351" t="s">
        <v>2021</v>
      </c>
      <c r="BM84" s="755" t="str" cm="1">
        <f t="array" aca="1" ref="BM84" ca="1">_xlfn.TEXTJOIN("",,INDEX({"M","A","Y"}, _xlfn.SORTBY({1,2,3}, -CHOOSE({1,2,3}, Tab_NewTRADER[[#This Row],[M]], Tab_NewTRADER[[#This Row],[A]], Tab_NewTRADER[[#This Row],[Agiotage]]))))</f>
        <v>AMY</v>
      </c>
      <c r="BN84" s="909" cm="1">
        <f t="array" aca="1" ref="BN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0.31580510190309075</v>
      </c>
      <c r="BO84" s="679" t="e">
        <f ca="1">Tab_NewTRADER[[#This Row],[L_Sn]]*Tab_NewTRADER[[#This Row],[L_Sp]]+Tab_NewTRADER[[#This Row],[SellMore]]*Tab_NewTRADER[[#This Row],[M]]</f>
        <v>#N/A</v>
      </c>
      <c r="BP84" s="679" t="e">
        <f ca="1">INDEX(
  INDEX(TabConsolid[], , _xlfn.XMATCH(Tab_NewTRADER[[#This Row],[ClickTick]]&amp;1, TabConsolid[#Headers])),
  MATCH(
    -Tab_NewTRADER[[#This Row],[M]],
    INDEX(TabConsolid[], , _xlfn.XMATCH(Tab_NewTRADER[[#This Row],[ClickTick]]&amp;2, TabConsolid[#Headers])),
    -1
  )
)</f>
        <v>#N/A</v>
      </c>
      <c r="BQ84" s="679" cm="1">
        <f t="array" aca="1" ref="BQ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4" s="1156" t="e">
        <f ca="1">Tab_NewTRADER[[#This Row],[ReBuy]]/(Tab_NewTRADER[[#This Row],[L_Sn]]+Tab_NewTRADER[[#This Row],[SellMore]])</f>
        <v>#N/A</v>
      </c>
      <c r="BS84" s="687">
        <f ca="1">((_xlfn.XLOOKUP(Tab_NewTRADER[[#This Row],[ClickTick]],TabCalc[Ticker],TabCalc[NAfter])+Tab_NewTRADER[[#This Row],[L_Sn]])*(Tab_NewTRADER[[#This Row],[Agiotage]]-Tab_NewTRADER[[#This Row],[M]]))/(Tab_NewTRADER[[#This Row],[L_Sn]]*_xlfn.XLOOKUP(Tab_NewTRADER[[#This Row],[ClickTick]],TabCalc[Ticker],TabCalc[NAfter]))</f>
        <v>-2.3015954691039415E-3</v>
      </c>
      <c r="BT84" s="687">
        <f ca="1">(Tab_NewTRADER[[#This Row],[M]]-Tab_NewTRADER[[#This Row],[Agiotage]])/(Tab_NewTRADER[[#This Row],[M]]-Tab_NewTRADER[[#This Row],[A]])-1</f>
        <v>-7.615548369362255</v>
      </c>
      <c r="BU84" s="1277">
        <f ca="1">_xlfn.XMATCH(Tab_NewTRADER[[#This Row],[ClickTick]]&amp;1, TabConsolid[#Headers])</f>
        <v>248</v>
      </c>
      <c r="BV84" t="str">
        <f ca="1">IF(ABS(Tab_NewTRADER[[#This Row],[L_Bp]])&gt;=Tab_NewTRADER[[#This Row],[M]],"OK")</f>
        <v>OK</v>
      </c>
    </row>
    <row r="85" spans="1:74"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22.5%</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9,376$</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18.5% = 0</v>
      </c>
      <c r="I85" s="226" t="str">
        <f ca="1">IFERROR(TRUNC(TabCalc[[#This Row],[L_S1p]],2)&amp;"x"&amp;TabCalc[[#This Row],[L_S1n]]&amp;"=   "&amp;TEXT(TabCalc[[#This Row],[ReverseB1]],"#,#0"),"")</f>
        <v>99.4x1000=   -27,050</v>
      </c>
      <c r="J85" s="295">
        <f ca="1">_xlfn.XLOOKUP(Tab_NewTRADER[[#This Row],[ClickTick]],TabCalc[Ticker],ListGravity)</f>
        <v>1.0079398971925662</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0.69127556692117309</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0.28983230649965319</v>
      </c>
      <c r="S85" s="683">
        <f ca="1">_xlfn.XLOOKUP(Tab_NewTRADER[[#This Row],[ClickTick]],TabCalc[Ticker],TabCalc[Rev(MinStock)])*(1-Commission)</f>
        <v>0</v>
      </c>
      <c r="T85" s="782">
        <f ca="1">_xlfn.XLOOKUP(Tab_NewTRADER[[#This Row],[ClickTick]],TabCalc[Ticker],TabCalc[Agiotage])</f>
        <v>0.69127556692117309</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-0.1%</v>
      </c>
      <c r="V85" s="739" t="str">
        <f ca="1">_xlfn.XLOOKUP(Tab_NewTRADER[[#This Row],[ClickTick]],[1]!RTData[Ticker_Symbol],[1]!RTData[Currency])</f>
        <v>USD</v>
      </c>
      <c r="W85" s="749">
        <f ca="1">_xlfn.XLOOKUP(Tab_NewTRADER[[#This Row],[ClickTick]],TabCalc[Ticker],TabCalc[M])</f>
        <v>126.45</v>
      </c>
      <c r="X85" s="1343"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E85" s="1173" t="str" cm="1">
        <f t="array" aca="1" ref="AE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85" s="1177" t="str" cm="1">
        <f t="array" aca="1" ref="AF85" ca="1">_xlfn.IFS(       Tab_NewTRADER[[#This Row],[Trap_vs_Last]]=RePurchaseGain,TEXT(Tab_NewTRADER[[#This Row],[L_Sn]],"#,#0")&amp;" x "&amp;TEXT(Tab_NewTRADER[[#This Row],[L_Sp]],"#,#0.#0"),     Tab_NewTRADER[[#This Row],[Trap_vs_Last]]=ReSaleGain,Tab_NewTRADER[[#This Row],[ToSell]],               TRUE,"")</f>
        <v/>
      </c>
      <c r="AG85" s="1177" t="str" cm="1">
        <f t="array" aca="1" ref="AG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85" s="1370" t="str">
        <f ca="1">TEXT(MIN(Tab_NewTRADER[[#This Row],[L_Bn]],Tab_NewTRADER[[#This Row],[N]]),"#,#0")&amp;" x "&amp;TEXT(Tab_NewTRADER[[#This Row],[L_Bp]],"#,#0.#0")</f>
        <v>0 x -98.04</v>
      </c>
      <c r="AI85" s="1370">
        <f ca="1">IF(Tab_NewTRADER[[#This Row],[M]]&lt;_xlfn.XLOOKUP(Tab_NewTRADER[[#This Row],[ClickTick]],TabCalc[Ticker],TabCalc[Max_Buy_P]), 0,Tab_NewTRADER[[#This Row],[Sale_Back_$]])</f>
        <v>0</v>
      </c>
      <c r="AJ85" s="1370" t="str">
        <f ca="1">TEXT(Tab_NewTRADER[[#This Row],[L_Sn]],"#,#0")&amp;" ("&amp;Tab_NewTRADER[[#This Row],[M]]&amp;"/"&amp;TEXT(Tab_NewTRADER[[#This Row],[L_Sp]],"#,#0.#0)")</f>
        <v>400 (126.45/103.01)</v>
      </c>
      <c r="AK85" s="1370">
        <f ca="1">IF(Tab_NewTRADER[[#This Row],[M]]&lt;_xlfn.XLOOKUP(Tab_NewTRADER[[#This Row],[ClickTick]],TabCalc[Ticker],TabCalc[Max_Buy_P]), -Tab_NewTRADER[[#This Row],[Buy_Back]], 0)</f>
        <v>0</v>
      </c>
      <c r="AL85" s="1177" t="str" cm="1">
        <f t="array" aca="1" ref="AL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5" s="1177">
        <f ca="1">Tab_NewTRADER[[#This Row],[N]]*(Tab_NewTRADER[[#This Row],[M]]-Tab_NewTRADER[[#This Row],[A]])*(1-Commission)*Tab_NewTRADER[[#This Row],[Scale]]</f>
        <v>0</v>
      </c>
      <c r="AN85" s="1177">
        <f ca="1">Tab_NewTRADER[[#This Row],[M]]*Tab_NewTRADER[[#This Row],[N]]*(1-Commission)*Tab_NewTRADER[[#This Row],[Scale]]</f>
        <v>0</v>
      </c>
      <c r="AO85" s="1186" t="str" cm="1">
        <f t="array" aca="1" ref="AO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85" s="1186" t="str" cm="1">
        <f t="array" aca="1" ref="AP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Tab_NewTRADER[[#This Row],[Trap_vs_Last]]=SellMorePercentGain,                     MIN(Tab_NewTRADER[[#This Row],[L_Sn]],Tab_NewTRADER[[#This Row],[N]])*(Tab_NewTRADER[[#This Row],[M]]-Tab_NewTRADER[[#This Row],[L_Sp]])*(1-Commission)*Tab_NewTRADER[[#This Row],[Scale]],                    TRUE,"")</f>
        <v/>
      </c>
      <c r="AR85" s="1175">
        <f ca="1">_xlfn.XLOOKUP(Tab_NewTRADER[[#This Row],[ClickTick]],TabCalc[Ticker],TabCalc[Ann%RevLB])</f>
        <v>0.34209714865532836</v>
      </c>
      <c r="AS85" s="1282">
        <f ca="1">_xlfn.XLOOKUP(Tab_NewTRADER[[#This Row],[ClickTick]],TabCalc[Ticker],TabCalc[Up20])</f>
        <v>0</v>
      </c>
      <c r="AT85" s="1187" t="str" cm="1">
        <f t="array" aca="1" ref="AT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5" s="825" t="str" cm="1">
        <f t="array" aca="1" ref="AU85" ca="1">_xlfn.IFS(         Tab_NewTRADER[[#This Row],[Trap_vs_Last]]=MDown,Tab_NewTRADER[[#This Row],[L_Bn]]*Tab_NewTRADER[[#This Row],[M]]*(-(Tab_NewTRADER[[#This Row],[L_Bp]]+Tab_NewTRADER[[#This Row],[M]])/Tab_NewTRADER[[#This Row],[M]])*(1-Commission)*Tab_NewTRADER[[#This Row],[Scale]],                               TRUE,"")</f>
        <v/>
      </c>
      <c r="AV85" s="1186" t="str" cm="1">
        <f t="array" aca="1" ref="AV85" ca="1">_xlfn.IFS(   Tab_NewTRADER[[#This Row],[Trap_vs_Last]]=MUp,Tab_NewTRADER[[#This Row],[TakeGain_A]]-Commission,        Tab_NewTRADER[[#This Row],[Trap_vs_Last]]=MDown,(Tab_NewTRADER[[#This Row],[A]]-Tab_NewTRADER[[#This Row],[M]])/Tab_NewTRADER[[#This Row],[M]]-Commission,                              TRUE,"")</f>
        <v/>
      </c>
      <c r="AW85" s="825" cm="1">
        <f t="array" aca="1" ref="AW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85" s="760" t="str" cm="1">
        <f t="array" aca="1" ref="AX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Y85" s="736" t="str" cm="1">
        <f t="array" aca="1" ref="AY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0x126.45</v>
      </c>
      <c r="AZ85" s="765" t="str" cm="1">
        <f t="array" aca="1" ref="AZ85" ca="1">_xlfn.IFS(Tab_NewTRADER[[#This Row],[Trap_vs_Last]]=ReSaleGain,"",         Tab_NewTRADER[[#This Row],[Trap_vs_Last]]=MDown, (Tab_NewTRADER[[#This Row],[M]]-Tab_NewTRADER[[#This Row],[A]])/Tab_NewTRADER[[#This Row],[A]]*ComFactor,             TRUE, IFERROR((Tab_NewTRADER[[#This Row],[M]]-Tab_NewTRADER[[#This Row],[A]])/Tab_NewTRADER[[#This Row],[A]]*ComFactor,""))</f>
        <v/>
      </c>
      <c r="BA85" s="762" cm="1">
        <f t="array" aca="1" ref="BA85" ca="1">_xlfn.IFS(               Tab_NewTRADER[[#This Row],[Trap_vs_Last]]=NoStock,(Tab_NewTRADER[[#This Row],[L_Sp]]-Tab_NewTRADER[[#This Row],[M]])/Tab_NewTRADER[[#This Row],[M]]-Commission,             Tab_NewTRADER[[#This Row],[A]]&lt;&gt;0,(Tab_NewTRADER[[#This Row],[A]]-Tab_NewTRADER[[#This Row],[M]])/Tab_NewTRADER[[#This Row],[M]]-Commission)</f>
        <v>-0.18796575721629108</v>
      </c>
      <c r="BB85" s="324">
        <f ca="1">_xlfn.XLOOKUP(Tab_NewTRADER[[#This Row],[ClickTick]],TabCalc[Ticker],TabCalc[L_Sn])</f>
        <v>400</v>
      </c>
      <c r="BC85" s="728">
        <f ca="1">_xlfn.XLOOKUP(Tab_NewTRADER[[#This Row],[ClickTick]],TabCalc[Ticker],TabCalc[L_Sp])</f>
        <v>103.01049999999999</v>
      </c>
      <c r="BD85" s="764">
        <f ca="1">-IFERROR((Tab_NewTRADER[[#This Row],[M]]-Tab_NewTRADER[[#This Row],[L_Sp]])/Tab_NewTRADER[[#This Row],[L_Sp]],0)</f>
        <v>-0.22754476485406838</v>
      </c>
      <c r="BE85" s="729">
        <f ca="1">MIN(Tab_NewTRADER[[#This Row],[L_Sn]],Tab_NewTRADER[[#This Row],[N]])*(Tab_NewTRADER[[#This Row],[M]]-Tab_NewTRADER[[#This Row],[L_Sp]])*(1-Commission)*Tab_NewTRADER[[#This Row],[Scale]]</f>
        <v>0</v>
      </c>
      <c r="BF85" s="692">
        <f ca="1">Tab_NewTRADER[[#This Row],[L_Sn]]*(Tab_NewTRADER[[#This Row],[Agiotage]]-Tab_NewTRADER[[#This Row],[M]])/(Tab_NewTRADER[[#This Row],[L_Bn]]*Tab_NewTRADER[[#This Row],[M]])</f>
        <v>-0.39781328409040356</v>
      </c>
      <c r="BG85" s="635">
        <f ca="1">IFERROR((Tab_NewTRADER[[#This Row],[M]]-Tab_NewTRADER[[#This Row],[A]])/Tab_NewTRADER[[#This Row],[A]],0)</f>
        <v>0</v>
      </c>
      <c r="BH85" s="638" t="str">
        <f ca="1">TEXT(_xlfn.XLOOKUP(Tab_NewTRADER[[#This Row],[ClickTick]],TabCalc[Ticker],TabCalc[NAfter]),"#,#0")&amp;" : "&amp;TEXT(_xlfn.XLOOKUP(Tab_NewTRADER[[#This Row],[ClickTick]],TabCalc[Ticker],TabCalc[NAfter])*(Tab_NewTRADER[[#This Row],[M]]-Tab_NewTRADER[[#This Row],[A]])*(1-Commission)*Tab_NewTRADER[[#This Row],[Scale]],"#,#0$")</f>
        <v>0 : 0$</v>
      </c>
      <c r="BI85" s="684">
        <f ca="1">_xlfn.XLOOKUP(Tab_NewTRADER[[#This Row],[ClickTick]],TabCalc[[#This Row],[Ticker]],TabCalc[[#This Row],[GL]])*(1-Commission)</f>
        <v>13527.530635859988</v>
      </c>
      <c r="BJ85" s="684"/>
      <c r="BK85" s="669" t="str">
        <f ca="1">Tab_NewTRADER[[#This Row],[ClickTick]]&amp;": "&amp;_xlfn.XLOOKUP(Tab_NewTRADER[[#This Row],[ClickTick]],TabCalc[Ticker],TabCalc[Pile?])</f>
        <v xml:space="preserve">NVS: </v>
      </c>
      <c r="BL85" s="351" t="s">
        <v>2022</v>
      </c>
      <c r="BM85" s="755" t="str" cm="1">
        <f t="array" aca="1" ref="BM85" ca="1">_xlfn.TEXTJOIN("",,INDEX({"M","A","Y"}, _xlfn.SORTBY({1,2,3}, -CHOOSE({1,2,3}, Tab_NewTRADER[[#This Row],[M]], Tab_NewTRADER[[#This Row],[A]], Tab_NewTRADER[[#This Row],[Agiotage]]))))</f>
        <v>MYA</v>
      </c>
      <c r="BN85" s="909" t="str" cm="1">
        <f t="array" aca="1" ref="BN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5" s="679" t="e">
        <f ca="1">Tab_NewTRADER[[#This Row],[L_Sn]]*Tab_NewTRADER[[#This Row],[L_Sp]]+Tab_NewTRADER[[#This Row],[SellMore]]*Tab_NewTRADER[[#This Row],[M]]</f>
        <v>#N/A</v>
      </c>
      <c r="BP85" s="679" t="e">
        <f ca="1">INDEX(
  INDEX(TabConsolid[], , _xlfn.XMATCH(Tab_NewTRADER[[#This Row],[ClickTick]]&amp;1, TabConsolid[#Headers])),
  MATCH(
    -Tab_NewTRADER[[#This Row],[M]],
    INDEX(TabConsolid[], , _xlfn.XMATCH(Tab_NewTRADER[[#This Row],[ClickTick]]&amp;2, TabConsolid[#Headers])),
    -1
  )
)</f>
        <v>#N/A</v>
      </c>
      <c r="BQ85" s="679" cm="1">
        <f t="array" aca="1" ref="BQ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5" s="1156" t="e">
        <f ca="1">Tab_NewTRADER[[#This Row],[ReBuy]]/(Tab_NewTRADER[[#This Row],[L_Sn]]+Tab_NewTRADER[[#This Row],[SellMore]])</f>
        <v>#N/A</v>
      </c>
      <c r="BS85" s="687" t="e">
        <f ca="1">((_xlfn.XLOOKUP(Tab_NewTRADER[[#This Row],[ClickTick]],TabCalc[Ticker],TabCalc[NAfter])+Tab_NewTRADER[[#This Row],[L_Sn]])*(Tab_NewTRADER[[#This Row],[Agiotage]]-Tab_NewTRADER[[#This Row],[M]]))/(Tab_NewTRADER[[#This Row],[L_Sn]]*_xlfn.XLOOKUP(Tab_NewTRADER[[#This Row],[ClickTick]],TabCalc[Ticker],TabCalc[NAfter]))</f>
        <v>#DIV/0!</v>
      </c>
      <c r="BT85" s="687">
        <f ca="1">(Tab_NewTRADER[[#This Row],[M]]-Tab_NewTRADER[[#This Row],[Agiotage]])/(Tab_NewTRADER[[#This Row],[M]]-Tab_NewTRADER[[#This Row],[A]])-1</f>
        <v>-5.4667897739911764E-3</v>
      </c>
      <c r="BU85" s="1277">
        <f ca="1">_xlfn.XMATCH(Tab_NewTRADER[[#This Row],[ClickTick]]&amp;1, TabConsolid[#Headers])</f>
        <v>251</v>
      </c>
      <c r="BV85" t="b">
        <f ca="1">IF(ABS(Tab_NewTRADER[[#This Row],[L_Bp]])&gt;=Tab_NewTRADER[[#This Row],[M]],"OK")</f>
        <v>0</v>
      </c>
    </row>
    <row r="86" spans="1:74"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+504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5,262$</v>
      </c>
      <c r="G86" s="225" t="str">
        <f ca="1">IFERROR(TRUNC(_xlfn.XLOOKUP(Tab_NewTRADER[[#This Row],[ClickTick]],TabCalc[Ticker],ListLastSalep),2)&amp;"x"&amp;_xlfn.XLOOKUP(Tab_NewTRADER[[#This Row],[ClickTick]],TabCalc[Ticker],ListLastSalen)&amp;"=   "&amp;TEXT(-_xlfn.XLOOKUP(Tab_NewTRADER[[#This Row],[ClickTick]],TabCalc[Ticker],ListReverseB),"#,#0")&amp;"$","")</f>
        <v>12.03x2000=   4,270$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15.1% = 0</v>
      </c>
      <c r="I86" s="226" t="str">
        <f ca="1">IFERROR(TRUNC(TabCalc[[#This Row],[L_S1p]],2)&amp;"x"&amp;TabCalc[[#This Row],[L_S1n]]&amp;"=   "&amp;TEXT(TabCalc[[#This Row],[ReverseB1]],"#,#0"),"")</f>
        <v>11.84x2000=   -4,640</v>
      </c>
      <c r="J86" s="295">
        <f ca="1">_xlfn.XLOOKUP(Tab_NewTRADER[[#This Row],[ClickTick]],TabCalc[Ticker],ListGravity)</f>
        <v>1.0816957289092834</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1.0808883296742351</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3.0556566024008726E-2</v>
      </c>
      <c r="S86" s="683">
        <f ca="1">_xlfn.XLOOKUP(Tab_NewTRADER[[#This Row],[ClickTick]],TabCalc[Ticker],TabCalc[Rev(MinStock)])*(1-Commission)</f>
        <v>502.68959999999987</v>
      </c>
      <c r="T86" s="782">
        <f ca="1">_xlfn.XLOOKUP(Tab_NewTRADER[[#This Row],[ClickTick]],TabCalc[Ticker],TabCalc[Agiotage])</f>
        <v>1.0808883296742351</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258/258=&gt;1.6% / 1.6%</v>
      </c>
      <c r="V86" s="739" t="str">
        <f ca="1">_xlfn.XLOOKUP(Tab_NewTRADER[[#This Row],[ClickTick]],[1]!RTData[Ticker_Symbol],[1]!RTData[Currency])</f>
        <v>EUR</v>
      </c>
      <c r="W86" s="749">
        <f ca="1">_xlfn.XLOOKUP(Tab_NewTRADER[[#This Row],[ClickTick]],TabCalc[Ticker],TabCalc[M])</f>
        <v>14.164999999999999</v>
      </c>
      <c r="X86" s="1343"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E86" s="1195" t="str" cm="1">
        <f t="array" aca="1" ref="AE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86" s="1177" t="str" cm="1">
        <f t="array" aca="1" ref="AF86" ca="1">_xlfn.IFS(       Tab_NewTRADER[[#This Row],[Trap_vs_Last]]=RePurchaseGain,TEXT(Tab_NewTRADER[[#This Row],[L_Sn]],"#,#0")&amp;" x "&amp;TEXT(Tab_NewTRADER[[#This Row],[L_Sp]],"#,#0.#0"),     Tab_NewTRADER[[#This Row],[Trap_vs_Last]]=ReSaleGain,Tab_NewTRADER[[#This Row],[ToSell]],               TRUE,"")</f>
        <v>1,200 x -13.75</v>
      </c>
      <c r="AG86" s="1177" cm="1">
        <f t="array" aca="1" ref="AG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502.68959999999987</v>
      </c>
      <c r="AH86" s="1370" t="str">
        <f ca="1">TEXT(MIN(Tab_NewTRADER[[#This Row],[L_Bn]],Tab_NewTRADER[[#This Row],[N]]),"#,#0")&amp;" x "&amp;TEXT(Tab_NewTRADER[[#This Row],[L_Bp]],"#,#0.#0")</f>
        <v>1,200 x -13.75</v>
      </c>
      <c r="AI86" s="1370">
        <f ca="1">IF(Tab_NewTRADER[[#This Row],[M]]&lt;_xlfn.XLOOKUP(Tab_NewTRADER[[#This Row],[ClickTick]],TabCalc[Ticker],TabCalc[Max_Buy_P]), 0,Tab_NewTRADER[[#This Row],[Sale_Back_$]])</f>
        <v>502.68959999999987</v>
      </c>
      <c r="AJ86" s="1370" t="str">
        <f ca="1">TEXT(Tab_NewTRADER[[#This Row],[L_Sn]],"#,#0")&amp;" ("&amp;Tab_NewTRADER[[#This Row],[M]]&amp;"/"&amp;TEXT(Tab_NewTRADER[[#This Row],[L_Sp]],"#,#0.#0)")</f>
        <v>2,000 (14.165/12.03)</v>
      </c>
      <c r="AK86" s="1370">
        <f ca="1">IF(Tab_NewTRADER[[#This Row],[M]]&lt;_xlfn.XLOOKUP(Tab_NewTRADER[[#This Row],[ClickTick]],TabCalc[Ticker],TabCalc[Max_Buy_P]), -Tab_NewTRADER[[#This Row],[Buy_Back]], 0)</f>
        <v>0</v>
      </c>
      <c r="AL86" s="1177" t="str" cm="1">
        <f t="array" aca="1" ref="AL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6" s="1177">
        <f ca="1">Tab_NewTRADER[[#This Row],[N]]*(Tab_NewTRADER[[#This Row],[M]]-Tab_NewTRADER[[#This Row],[A]])*(1-Commission)*Tab_NewTRADER[[#This Row],[Scale]]</f>
        <v>502.68959999999987</v>
      </c>
      <c r="AN86" s="1177">
        <f ca="1">Tab_NewTRADER[[#This Row],[M]]*Tab_NewTRADER[[#This Row],[N]]*(1-Commission)*Tab_NewTRADER[[#This Row],[Scale]]</f>
        <v>16953.805199999999</v>
      </c>
      <c r="AO86" s="1186" cm="1">
        <f t="array" aca="1" ref="AO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3.0556566024008726E-2</v>
      </c>
      <c r="AP86" s="1186" t="str" cm="1">
        <f t="array" aca="1" ref="AP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Tab_NewTRADER[[#This Row],[Trap_vs_Last]]=SellMorePercentGain,                     MIN(Tab_NewTRADER[[#This Row],[L_Sn]],Tab_NewTRADER[[#This Row],[N]])*(Tab_NewTRADER[[#This Row],[M]]-Tab_NewTRADER[[#This Row],[L_Sp]])*(1-Commission)*Tab_NewTRADER[[#This Row],[Scale]],                    TRUE,"")</f>
        <v/>
      </c>
      <c r="AR86" s="1175">
        <f ca="1">_xlfn.XLOOKUP(Tab_NewTRADER[[#This Row],[ClickTick]],TabCalc[Ticker],TabCalc[Ann%RevLB])</f>
        <v>0.2244972197682274</v>
      </c>
      <c r="AS86" s="1282">
        <f ca="1">_xlfn.XLOOKUP(Tab_NewTRADER[[#This Row],[ClickTick]],TabCalc[Ticker],TabCalc[Up20])</f>
        <v>0</v>
      </c>
      <c r="AT86" s="1187" t="str" cm="1">
        <f t="array" aca="1" ref="AT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6" s="825" t="str" cm="1">
        <f t="array" aca="1" ref="AU86" ca="1">_xlfn.IFS(         Tab_NewTRADER[[#This Row],[Trap_vs_Last]]=MDown,Tab_NewTRADER[[#This Row],[L_Bn]]*Tab_NewTRADER[[#This Row],[M]]*(-(Tab_NewTRADER[[#This Row],[L_Bp]]+Tab_NewTRADER[[#This Row],[M]])/Tab_NewTRADER[[#This Row],[M]])*(1-Commission)*Tab_NewTRADER[[#This Row],[Scale]],                               TRUE,"")</f>
        <v/>
      </c>
      <c r="AV86" s="1186" t="str" cm="1">
        <f t="array" aca="1" ref="AV86" ca="1">_xlfn.IFS(   Tab_NewTRADER[[#This Row],[Trap_vs_Last]]=MUp,Tab_NewTRADER[[#This Row],[TakeGain_A]]-Commission,        Tab_NewTRADER[[#This Row],[Trap_vs_Last]]=MDown,(Tab_NewTRADER[[#This Row],[A]]-Tab_NewTRADER[[#This Row],[M]])/Tab_NewTRADER[[#This Row],[M]]-Commission,                              TRUE,"")</f>
        <v/>
      </c>
      <c r="AW86" s="760" cm="1">
        <f t="array" aca="1" ref="AW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518.05006795198244</v>
      </c>
      <c r="AX86" s="760" t="str" cm="1">
        <f t="array" aca="1" ref="AX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86" s="736" t="str" cm="1">
        <f t="array" aca="1" ref="AY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86" s="765" t="str" cm="1">
        <f t="array" aca="1" ref="AZ86" ca="1">_xlfn.IFS(Tab_NewTRADER[[#This Row],[Trap_vs_Last]]=ReSaleGain,"",         Tab_NewTRADER[[#This Row],[Trap_vs_Last]]=MDown, (Tab_NewTRADER[[#This Row],[M]]-Tab_NewTRADER[[#This Row],[A]])/Tab_NewTRADER[[#This Row],[A]]*ComFactor,             TRUE, IFERROR((Tab_NewTRADER[[#This Row],[M]]-Tab_NewTRADER[[#This Row],[A]])/Tab_NewTRADER[[#This Row],[A]]*ComFactor,""))</f>
        <v/>
      </c>
      <c r="BA86" s="762" cm="1">
        <f t="array" aca="1" ref="BA86" ca="1">_xlfn.IFS(               Tab_NewTRADER[[#This Row],[Trap_vs_Last]]=NoStock,(Tab_NewTRADER[[#This Row],[L_Sp]]-Tab_NewTRADER[[#This Row],[M]])/Tab_NewTRADER[[#This Row],[M]]-Commission,             Tab_NewTRADER[[#This Row],[A]]&lt;&gt;0,(Tab_NewTRADER[[#This Row],[A]]-Tab_NewTRADER[[#This Row],[M]])/Tab_NewTRADER[[#This Row],[M]]-Commission)</f>
        <v>-3.2250547123190962E-2</v>
      </c>
      <c r="BB86" s="324">
        <f ca="1">_xlfn.XLOOKUP(Tab_NewTRADER[[#This Row],[ClickTick]],TabCalc[Ticker],TabCalc[L_Sn])</f>
        <v>2000</v>
      </c>
      <c r="BC86" s="728">
        <f ca="1">_xlfn.XLOOKUP(Tab_NewTRADER[[#This Row],[ClickTick]],TabCalc[Ticker],TabCalc[L_Sp])</f>
        <v>12.03</v>
      </c>
      <c r="BD86" s="764">
        <f ca="1">-IFERROR((Tab_NewTRADER[[#This Row],[M]]-Tab_NewTRADER[[#This Row],[L_Sp]])/Tab_NewTRADER[[#This Row],[L_Sp]],0)</f>
        <v>-0.17747298420615129</v>
      </c>
      <c r="BE86" s="729">
        <f ca="1">MIN(Tab_NewTRADER[[#This Row],[L_Sn]],Tab_NewTRADER[[#This Row],[N]])*(Tab_NewTRADER[[#This Row],[M]]-Tab_NewTRADER[[#This Row],[L_Sp]])*(1-Commission)*Tab_NewTRADER[[#This Row],[Scale]]</f>
        <v>2555.3387999999995</v>
      </c>
      <c r="BF86" s="692">
        <f ca="1">Tab_NewTRADER[[#This Row],[L_Sn]]*(Tab_NewTRADER[[#This Row],[Agiotage]]-Tab_NewTRADER[[#This Row],[M]])/(Tab_NewTRADER[[#This Row],[L_Bn]]*Tab_NewTRADER[[#This Row],[M]])</f>
        <v>-1.539488371611456</v>
      </c>
      <c r="BG86" s="635">
        <f ca="1">IFERROR((Tab_NewTRADER[[#This Row],[M]]-Tab_NewTRADER[[#This Row],[A]])/Tab_NewTRADER[[#This Row],[A]],0)</f>
        <v>3.0556566024008726E-2</v>
      </c>
      <c r="BH86" s="638" t="str">
        <f ca="1">TEXT(_xlfn.XLOOKUP(Tab_NewTRADER[[#This Row],[ClickTick]],TabCalc[Ticker],TabCalc[NAfter]),"#,#0")&amp;" : "&amp;TEXT(_xlfn.XLOOKUP(Tab_NewTRADER[[#This Row],[ClickTick]],TabCalc[Ticker],TabCalc[NAfter])*(Tab_NewTRADER[[#This Row],[M]]-Tab_NewTRADER[[#This Row],[A]])*(1-Commission)*Tab_NewTRADER[[#This Row],[Scale]],"#,#0$")</f>
        <v>1,200 : 503$</v>
      </c>
      <c r="BI86" s="684">
        <f ca="1">_xlfn.XLOOKUP(Tab_NewTRADER[[#This Row],[ClickTick]],TabCalc[[#This Row],[Ticker]],TabCalc[[#This Row],[GL]])*(1-Commission)</f>
        <v>6452.3800800000117</v>
      </c>
      <c r="BJ86" s="684"/>
      <c r="BK86" s="669" t="str">
        <f ca="1">Tab_NewTRADER[[#This Row],[ClickTick]]&amp;": "&amp;_xlfn.XLOOKUP(Tab_NewTRADER[[#This Row],[ClickTick]],TabCalc[Ticker],TabCalc[Pile?])</f>
        <v>ORA: Pile</v>
      </c>
      <c r="BL86" s="351" t="s">
        <v>2023</v>
      </c>
      <c r="BM86" s="755" t="str" cm="1">
        <f t="array" aca="1" ref="BM86" ca="1">_xlfn.TEXTJOIN("",,INDEX({"M","A","Y"}, _xlfn.SORTBY({1,2,3}, -CHOOSE({1,2,3}, Tab_NewTRADER[[#This Row],[M]], Tab_NewTRADER[[#This Row],[A]], Tab_NewTRADER[[#This Row],[Agiotage]]))))</f>
        <v>MAY</v>
      </c>
      <c r="BN86" s="909" t="str" cm="1">
        <f t="array" aca="1" ref="BN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6" s="679">
        <f ca="1">Tab_NewTRADER[[#This Row],[L_Sn]]*Tab_NewTRADER[[#This Row],[L_Sp]]+Tab_NewTRADER[[#This Row],[SellMore]]*Tab_NewTRADER[[#This Row],[M]]</f>
        <v>41058</v>
      </c>
      <c r="BP86" s="679">
        <f ca="1">INDEX(
  INDEX(TabConsolid[], , _xlfn.XMATCH(Tab_NewTRADER[[#This Row],[ClickTick]]&amp;1, TabConsolid[#Headers])),
  MATCH(
    -Tab_NewTRADER[[#This Row],[M]],
    INDEX(TabConsolid[], , _xlfn.XMATCH(Tab_NewTRADER[[#This Row],[ClickTick]]&amp;2, TabConsolid[#Headers])),
    -1
  )
)</f>
        <v>1200</v>
      </c>
      <c r="BQ86" s="679" cm="1">
        <f t="array" aca="1" ref="BQ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6" s="1156">
        <f ca="1">Tab_NewTRADER[[#This Row],[ReBuy]]/(Tab_NewTRADER[[#This Row],[L_Sn]]+Tab_NewTRADER[[#This Row],[SellMore]])</f>
        <v>12.830625</v>
      </c>
      <c r="BS86" s="687">
        <f ca="1">((_xlfn.XLOOKUP(Tab_NewTRADER[[#This Row],[ClickTick]],TabCalc[Ticker],TabCalc[NAfter])+Tab_NewTRADER[[#This Row],[L_Sn]])*(Tab_NewTRADER[[#This Row],[Agiotage]]-Tab_NewTRADER[[#This Row],[M]]))/(Tab_NewTRADER[[#This Row],[L_Sn]]*_xlfn.XLOOKUP(Tab_NewTRADER[[#This Row],[ClickTick]],TabCalc[Ticker],TabCalc[NAfter]))</f>
        <v>-1.744548222710102E-2</v>
      </c>
      <c r="BT86" s="687">
        <f ca="1">(Tab_NewTRADER[[#This Row],[M]]-Tab_NewTRADER[[#This Row],[Agiotage]])/(Tab_NewTRADER[[#This Row],[M]]-Tab_NewTRADER[[#This Row],[A]])-1</f>
        <v>30.152646834108968</v>
      </c>
      <c r="BU86" s="1277">
        <f ca="1">_xlfn.XMATCH(Tab_NewTRADER[[#This Row],[ClickTick]]&amp;1, TabConsolid[#Headers])</f>
        <v>254</v>
      </c>
      <c r="BV86" t="b">
        <f ca="1">IF(ABS(Tab_NewTRADER[[#This Row],[L_Bp]])&gt;=Tab_NewTRADER[[#This Row],[M]],"OK")</f>
        <v>0</v>
      </c>
    </row>
    <row r="87" spans="1:74"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-6,051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-14.7%</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-6,211$</v>
      </c>
      <c r="G87" s="225" t="str">
        <f ca="1">IFERROR(TRUNC(_xlfn.XLOOKUP(Tab_NewTRADER[[#This Row],[ClickTick]],TabCalc[Ticker],ListLastSalep),2)&amp;"x"&amp;_xlfn.XLOOKUP(Tab_NewTRADER[[#This Row],[ClickTick]],TabCalc[Ticker],ListLastSalen)&amp;"=   "&amp;TEXT(-_xlfn.XLOOKUP(Tab_NewTRADER[[#This Row],[ClickTick]],TabCalc[Ticker],ListReverseB),"#,#0")&amp;"$","")</f>
        <v>51.86x1000=   -10,671$</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25.9% = 469</v>
      </c>
      <c r="I87" s="226" t="str">
        <f ca="1">IFERROR(TRUNC(TabCalc[[#This Row],[L_S1p]],2)&amp;"x"&amp;TabCalc[[#This Row],[L_S1n]]&amp;"=   "&amp;TEXT(TabCalc[[#This Row],[ReverseB1]],"#,#0"),"")</f>
        <v>62.9x2000=   43,422</v>
      </c>
      <c r="J87" s="295">
        <f ca="1">_xlfn.XLOOKUP(Tab_NewTRADER[[#This Row],[ClickTick]],TabCalc[Ticker],ListGravity)</f>
        <v>1.2117962674772331</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119448.97</v>
      </c>
      <c r="M87" s="323">
        <f ca="1">_xlfn.XLOOKUP(Tab_NewTRADER[[#This Row],[ClickTick]],TabCalc[Ticker],TabCalc[Agiotage])</f>
        <v>0.73549582470054142</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-0.12808425063505502</v>
      </c>
      <c r="S87" s="683">
        <f ca="1">_xlfn.XLOOKUP(Tab_NewTRADER[[#This Row],[ClickTick]],TabCalc[Ticker],TabCalc[Rev(MinStock)])*(1-Commission)</f>
        <v>-6034.9681799999989</v>
      </c>
      <c r="T87" s="782">
        <f ca="1">_xlfn.XLOOKUP(Tab_NewTRADER[[#This Row],[ClickTick]],TabCalc[Ticker],TabCalc[Agiotage])</f>
        <v>0.73549582470054142</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3,077/3,077=&gt;2.2% / 2.2%</v>
      </c>
      <c r="V87" s="739" t="str">
        <f ca="1">_xlfn.XLOOKUP(Tab_NewTRADER[[#This Row],[ClickTick]],[1]!RTData[Ticker_Symbol],[1]!RTData[Currency])</f>
        <v>USD</v>
      </c>
      <c r="W87" s="749">
        <f ca="1">_xlfn.XLOOKUP(Tab_NewTRADER[[#This Row],[ClickTick]],TabCalc[Ticker],TabCalc[M])</f>
        <v>41.189300000000003</v>
      </c>
      <c r="X87" s="1343"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-70/165 K$</v>
      </c>
      <c r="AE87" s="1173" t="str" cm="1">
        <f t="array" aca="1" ref="AE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7" s="1177" t="str" cm="1">
        <f t="array" aca="1" ref="AF87" ca="1">_xlfn.IFS(       Tab_NewTRADER[[#This Row],[Trap_vs_Last]]=RePurchaseGain,TEXT(Tab_NewTRADER[[#This Row],[L_Sn]],"#,#0")&amp;" x "&amp;TEXT(Tab_NewTRADER[[#This Row],[L_Sp]],"#,#0.#0"),     Tab_NewTRADER[[#This Row],[Trap_vs_Last]]=ReSaleGain,Tab_NewTRADER[[#This Row],[ToSell]],               TRUE,"")</f>
        <v/>
      </c>
      <c r="AG87" s="1177" t="str" cm="1">
        <f t="array" aca="1" ref="AG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H87" s="1370" t="str">
        <f ca="1">TEXT(MIN(Tab_NewTRADER[[#This Row],[L_Bn]],Tab_NewTRADER[[#This Row],[N]]),"#,#0")&amp;" x "&amp;TEXT(Tab_NewTRADER[[#This Row],[L_Bp]],"#,#0.#0")</f>
        <v>1,000 x -47.24</v>
      </c>
      <c r="AI87" s="1370">
        <f ca="1">IF(Tab_NewTRADER[[#This Row],[M]]&lt;_xlfn.XLOOKUP(Tab_NewTRADER[[#This Row],[ClickTick]],TabCalc[Ticker],TabCalc[Max_Buy_P]), 0,Tab_NewTRADER[[#This Row],[Sale_Back_$]])</f>
        <v>0</v>
      </c>
      <c r="AJ87" s="1370" t="str">
        <f ca="1">TEXT(Tab_NewTRADER[[#This Row],[L_Sn]],"#,#0")&amp;" ("&amp;Tab_NewTRADER[[#This Row],[M]]&amp;"/"&amp;TEXT(Tab_NewTRADER[[#This Row],[L_Sp]],"#,#0.#0)")</f>
        <v>1,000 (41.1893/51.86)</v>
      </c>
      <c r="AK87" s="1370">
        <f ca="1">IF(Tab_NewTRADER[[#This Row],[M]]&lt;_xlfn.XLOOKUP(Tab_NewTRADER[[#This Row],[ClickTick]],TabCalc[Ticker],TabCalc[Max_Buy_P]), -Tab_NewTRADER[[#This Row],[Buy_Back]], 0)</f>
        <v>10642.956179999997</v>
      </c>
      <c r="AL87" s="1177" cm="1">
        <f t="array" aca="1" ref="AL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6034.9681799999989</v>
      </c>
      <c r="AM87" s="1177">
        <f ca="1">Tab_NewTRADER[[#This Row],[N]]*(Tab_NewTRADER[[#This Row],[M]]-Tab_NewTRADER[[#This Row],[A]])*(1-Commission)*Tab_NewTRADER[[#This Row],[Scale]]</f>
        <v>-52443.990179999979</v>
      </c>
      <c r="AN87" s="1177">
        <f ca="1">Tab_NewTRADER[[#This Row],[M]]*Tab_NewTRADER[[#This Row],[N]]*(1-Commission)*Tab_NewTRADER[[#This Row],[Scale]]</f>
        <v>164328.83128000001</v>
      </c>
      <c r="AO87" s="1186" cm="1">
        <f t="array" aca="1" ref="AO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0.2419306526841383</v>
      </c>
      <c r="AP87" s="1186" cm="1">
        <f t="array" aca="1" ref="AP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0.14429980164751524</v>
      </c>
      <c r="AQ87" s="825" t="str" cm="1">
        <f t="array" aca="1" ref="AQ87" ca="1">_xlfn.IFS(   Tab_NewTRADER[[#This Row],[Trap_vs_Last]]=SellMorePercentGain,                     MIN(Tab_NewTRADER[[#This Row],[L_Sn]],Tab_NewTRADER[[#This Row],[N]])*(Tab_NewTRADER[[#This Row],[M]]-Tab_NewTRADER[[#This Row],[L_Sp]])*(1-Commission)*Tab_NewTRADER[[#This Row],[Scale]],                    TRUE,"")</f>
        <v/>
      </c>
      <c r="AR87" s="1175">
        <f ca="1">_xlfn.XLOOKUP(Tab_NewTRADER[[#This Row],[ClickTick]],TabCalc[Ticker],TabCalc[Ann%RevLB])</f>
        <v>-0.19621417118561618</v>
      </c>
      <c r="AS87" s="1175">
        <f ca="1">_xlfn.XLOOKUP(Tab_NewTRADER[[#This Row],[ClickTick]],TabCalc[Ticker],TabCalc[Up20])</f>
        <v>0</v>
      </c>
      <c r="AT87" s="1187" cm="1">
        <f t="array" aca="1" ref="AT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0.14689980164751523</v>
      </c>
      <c r="AU87" s="825" cm="1">
        <f t="array" aca="1" ref="AU87" ca="1">_xlfn.IFS(         Tab_NewTRADER[[#This Row],[Trap_vs_Last]]=MDown,Tab_NewTRADER[[#This Row],[L_Bn]]*Tab_NewTRADER[[#This Row],[M]]*(-(Tab_NewTRADER[[#This Row],[L_Bp]]+Tab_NewTRADER[[#This Row],[M]])/Tab_NewTRADER[[#This Row],[M]])*(1-Commission)*Tab_NewTRADER[[#This Row],[Scale]],                               TRUE,"")</f>
        <v>6034.9681799999998</v>
      </c>
      <c r="AV87" s="1186" cm="1">
        <f t="array" aca="1" ref="AV87" ca="1">_xlfn.IFS(   Tab_NewTRADER[[#This Row],[Trap_vs_Last]]=MUp,Tab_NewTRADER[[#This Row],[TakeGain_A]]-Commission,        Tab_NewTRADER[[#This Row],[Trap_vs_Last]]=MDown,(Tab_NewTRADER[[#This Row],[A]]-Tab_NewTRADER[[#This Row],[M]])/Tab_NewTRADER[[#This Row],[M]]-Commission,                              TRUE,"")</f>
        <v>0.31654052921511155</v>
      </c>
      <c r="AW87" s="825" cm="1">
        <f t="array" aca="1" ref="AW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52443.990179999979</v>
      </c>
      <c r="AX87" s="760" t="str" cm="1">
        <f t="array" aca="1" ref="AX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87" s="736" cm="1">
        <f t="array" aca="1" ref="AY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-6.05</v>
      </c>
      <c r="AZ87" s="765" cm="1">
        <f t="array" aca="1" ref="AZ87" ca="1">_xlfn.IFS(Tab_NewTRADER[[#This Row],[Trap_vs_Last]]=ReSaleGain,"",         Tab_NewTRADER[[#This Row],[Trap_vs_Last]]=MDown, (Tab_NewTRADER[[#This Row],[M]]-Tab_NewTRADER[[#This Row],[A]])/Tab_NewTRADER[[#This Row],[A]]*ComFactor,             TRUE, IFERROR((Tab_NewTRADER[[#This Row],[M]]-Tab_NewTRADER[[#This Row],[A]])/Tab_NewTRADER[[#This Row],[A]]*ComFactor,""))</f>
        <v>-0.24130163298715954</v>
      </c>
      <c r="BA87" s="762" cm="1">
        <f t="array" aca="1" ref="BA87" ca="1">_xlfn.IFS(               Tab_NewTRADER[[#This Row],[Trap_vs_Last]]=NoStock,(Tab_NewTRADER[[#This Row],[L_Sp]]-Tab_NewTRADER[[#This Row],[M]])/Tab_NewTRADER[[#This Row],[M]]-Commission,             Tab_NewTRADER[[#This Row],[A]]&lt;&gt;0,(Tab_NewTRADER[[#This Row],[A]]-Tab_NewTRADER[[#This Row],[M]])/Tab_NewTRADER[[#This Row],[M]]-Commission)</f>
        <v>0.31654052921511155</v>
      </c>
      <c r="BB87" s="324">
        <f ca="1">_xlfn.XLOOKUP(Tab_NewTRADER[[#This Row],[ClickTick]],TabCalc[Ticker],TabCalc[L_Sn])</f>
        <v>1000</v>
      </c>
      <c r="BC87" s="728">
        <f ca="1">_xlfn.XLOOKUP(Tab_NewTRADER[[#This Row],[ClickTick]],TabCalc[Ticker],TabCalc[L_Sp])</f>
        <v>51.86</v>
      </c>
      <c r="BD87" s="764">
        <f ca="1">-IFERROR((Tab_NewTRADER[[#This Row],[M]]-Tab_NewTRADER[[#This Row],[L_Sp]])/Tab_NewTRADER[[#This Row],[L_Sp]],0)</f>
        <v>0.2057597377554955</v>
      </c>
      <c r="BE87" s="729">
        <f ca="1">MIN(Tab_NewTRADER[[#This Row],[L_Sn]],Tab_NewTRADER[[#This Row],[N]])*(Tab_NewTRADER[[#This Row],[M]]-Tab_NewTRADER[[#This Row],[L_Sp]])*(1-Commission)*Tab_NewTRADER[[#This Row],[Scale]]</f>
        <v>-10642.956179999997</v>
      </c>
      <c r="BF87" s="692">
        <f ca="1">Tab_NewTRADER[[#This Row],[L_Sn]]*(Tab_NewTRADER[[#This Row],[Agiotage]]-Tab_NewTRADER[[#This Row],[M]])/(Tab_NewTRADER[[#This Row],[L_Bn]]*Tab_NewTRADER[[#This Row],[M]])</f>
        <v>-0.98214352211131184</v>
      </c>
      <c r="BG87" s="635">
        <f ca="1">IFERROR((Tab_NewTRADER[[#This Row],[M]]-Tab_NewTRADER[[#This Row],[A]])/Tab_NewTRADER[[#This Row],[A]],0)</f>
        <v>-0.2419306526841383</v>
      </c>
      <c r="BH87" s="638" t="str">
        <f ca="1">TEXT(_xlfn.XLOOKUP(Tab_NewTRADER[[#This Row],[ClickTick]],TabCalc[Ticker],TabCalc[NAfter]),"#,#0")&amp;" : "&amp;TEXT(_xlfn.XLOOKUP(Tab_NewTRADER[[#This Row],[ClickTick]],TabCalc[Ticker],TabCalc[NAfter])*(Tab_NewTRADER[[#This Row],[M]]-Tab_NewTRADER[[#This Row],[A]])*(1-Commission)*Tab_NewTRADER[[#This Row],[Scale]],"#,#0$")</f>
        <v>4,000 : -52,444$</v>
      </c>
      <c r="BI87" s="684">
        <f ca="1">_xlfn.XLOOKUP(Tab_NewTRADER[[#This Row],[ClickTick]],TabCalc[[#This Row],[Ticker]],TabCalc[[#This Row],[GL]])*(1-Commission)</f>
        <v>-69380.765772399987</v>
      </c>
      <c r="BJ87" s="684"/>
      <c r="BK87" s="669" t="str">
        <f ca="1">Tab_NewTRADER[[#This Row],[ClickTick]]&amp;": "&amp;_xlfn.XLOOKUP(Tab_NewTRADER[[#This Row],[ClickTick]],TabCalc[Ticker],TabCalc[Pile?])</f>
        <v>OXY: Pile</v>
      </c>
      <c r="BL87" s="351" t="s">
        <v>2024</v>
      </c>
      <c r="BM87" s="755" t="str" cm="1">
        <f t="array" aca="1" ref="BM87" ca="1">_xlfn.TEXTJOIN("",,INDEX({"M","A","Y"}, _xlfn.SORTBY({1,2,3}, -CHOOSE({1,2,3}, Tab_NewTRADER[[#This Row],[M]], Tab_NewTRADER[[#This Row],[A]], Tab_NewTRADER[[#This Row],[Agiotage]]))))</f>
        <v>AMY</v>
      </c>
      <c r="BN87" s="909" cm="1">
        <f t="array" aca="1" ref="BN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0.14689980164751523</v>
      </c>
      <c r="BO87" s="679" t="e">
        <f ca="1">Tab_NewTRADER[[#This Row],[L_Sn]]*Tab_NewTRADER[[#This Row],[L_Sp]]+Tab_NewTRADER[[#This Row],[SellMore]]*Tab_NewTRADER[[#This Row],[M]]</f>
        <v>#N/A</v>
      </c>
      <c r="BP87" s="679" t="e">
        <f ca="1">INDEX(
  INDEX(TabConsolid[], , _xlfn.XMATCH(Tab_NewTRADER[[#This Row],[ClickTick]]&amp;1, TabConsolid[#Headers])),
  MATCH(
    -Tab_NewTRADER[[#This Row],[M]],
    INDEX(TabConsolid[], , _xlfn.XMATCH(Tab_NewTRADER[[#This Row],[ClickTick]]&amp;2, TabConsolid[#Headers])),
    -1
  )
)</f>
        <v>#N/A</v>
      </c>
      <c r="BQ87" s="679" cm="1">
        <f t="array" aca="1" ref="BQ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87" s="1156" t="e">
        <f ca="1">Tab_NewTRADER[[#This Row],[ReBuy]]/(Tab_NewTRADER[[#This Row],[L_Sn]]+Tab_NewTRADER[[#This Row],[SellMore]])</f>
        <v>#N/A</v>
      </c>
      <c r="BS87" s="687">
        <f ca="1">((_xlfn.XLOOKUP(Tab_NewTRADER[[#This Row],[ClickTick]],TabCalc[Ticker],TabCalc[NAfter])+Tab_NewTRADER[[#This Row],[L_Sn]])*(Tab_NewTRADER[[#This Row],[Agiotage]]-Tab_NewTRADER[[#This Row],[M]]))/(Tab_NewTRADER[[#This Row],[L_Sn]]*_xlfn.XLOOKUP(Tab_NewTRADER[[#This Row],[ClickTick]],TabCalc[Ticker],TabCalc[NAfter]))</f>
        <v>-5.0567255219124321E-2</v>
      </c>
      <c r="BT87" s="687">
        <f ca="1">(Tab_NewTRADER[[#This Row],[M]]-Tab_NewTRADER[[#This Row],[Agiotage]])/(Tab_NewTRADER[[#This Row],[M]]-Tab_NewTRADER[[#This Row],[A]])-1</f>
        <v>-4.0774641018700386</v>
      </c>
      <c r="BU87" s="1277">
        <f ca="1">_xlfn.XMATCH(Tab_NewTRADER[[#This Row],[ClickTick]]&amp;1, TabConsolid[#Headers])</f>
        <v>257</v>
      </c>
      <c r="BV87" t="str">
        <f ca="1">IF(ABS(Tab_NewTRADER[[#This Row],[L_Bp]])&gt;=Tab_NewTRADER[[#This Row],[M]],"OK")</f>
        <v>OK</v>
      </c>
    </row>
    <row r="88" spans="1:74"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-904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6" t="str">
        <f ca="1">TRUNC(TabCalc[[#This Row],[L_B1p]],2)&amp;"x"&amp;TabCalc[[#This Row],[L_B1n]]&amp;"=   "&amp;TEXT(TabCalc[[#This Row],[ReverseS1]],"#,#0")&amp;"$"</f>
        <v>-27.92x2000=   -5,680$</v>
      </c>
      <c r="G88" s="225" t="str">
        <f ca="1">IFERROR(TRUNC(_xlfn.XLOOKUP(Tab_NewTRADER[[#This Row],[ClickTick]],TabCalc[Ticker],ListLastSalep),2)&amp;"x"&amp;_xlfn.XLOOKUP(Tab_NewTRADER[[#This Row],[ClickTick]],TabCalc[Ticker],ListLastSalen)&amp;"=   "&amp;TEXT(-_xlfn.XLOOKUP(Tab_NewTRADER[[#This Row],[ClickTick]],TabCalc[Ticker],ListReverseB),"#,#0")&amp;"$","")</f>
        <v>29.9x2010=   -11,110$</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22.7% = 905</v>
      </c>
      <c r="I88" s="226" t="str">
        <f ca="1">IFERROR(TRUNC(TabCalc[[#This Row],[L_S1p]],2)&amp;"x"&amp;TabCalc[[#This Row],[L_S1n]]&amp;"=   "&amp;TEXT(TabCalc[[#This Row],[ReverseB1]],"#,#0"),"")</f>
        <v>28.22x1990=   7,662</v>
      </c>
      <c r="J88" s="295">
        <f ca="1">_xlfn.XLOOKUP(Tab_NewTRADER[[#This Row],[ClickTick]],TabCalc[Ticker],ListGravity)</f>
        <v>1.1795651282051283</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7312.5</v>
      </c>
      <c r="M88" s="323">
        <f ca="1">_xlfn.XLOOKUP(Tab_NewTRADER[[#This Row],[ClickTick]],TabCalc[Ticker],TabCalc[Agiotage])</f>
        <v>1.5310946563079202</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-2.2654370489174069E-2</v>
      </c>
      <c r="S88" s="683">
        <f ca="1">_xlfn.XLOOKUP(Tab_NewTRADER[[#This Row],[ClickTick]],TabCalc[Ticker],TabCalc[Rev(MinStock)])*(1-Commission)</f>
        <v>-901.64960000000201</v>
      </c>
      <c r="T88" s="782">
        <f ca="1">_xlfn.XLOOKUP(Tab_NewTRADER[[#This Row],[ClickTick]],TabCalc[Ticker],TabCalc[Agiotage])</f>
        <v>1.5310946563079202</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56/56=&gt;-0.2% / -0.2%</v>
      </c>
      <c r="V88" s="739" t="str">
        <f ca="1">_xlfn.XLOOKUP(Tab_NewTRADER[[#This Row],[ClickTick]],[1]!RTData[Ticker_Symbol],[1]!RTData[Currency])</f>
        <v>USD</v>
      </c>
      <c r="W88" s="749">
        <f ca="1">_xlfn.XLOOKUP(Tab_NewTRADER[[#This Row],[ClickTick]],TabCalc[Ticker],TabCalc[M])</f>
        <v>24.375</v>
      </c>
      <c r="X88" s="1343"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-9/39 K$</v>
      </c>
      <c r="AE88" s="1173" t="str" cm="1">
        <f t="array" aca="1" ref="AE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8" s="1177" t="str" cm="1">
        <f t="array" aca="1" ref="AF88" ca="1">_xlfn.IFS(       Tab_NewTRADER[[#This Row],[Trap_vs_Last]]=RePurchaseGain,TEXT(Tab_NewTRADER[[#This Row],[L_Sn]],"#,#0")&amp;" x "&amp;TEXT(Tab_NewTRADER[[#This Row],[L_Sp]],"#,#0.#0"),     Tab_NewTRADER[[#This Row],[Trap_vs_Last]]=ReSaleGain,Tab_NewTRADER[[#This Row],[ToSell]],               TRUE,"")</f>
        <v/>
      </c>
      <c r="AG88" s="1177" t="str" cm="1">
        <f t="array" aca="1" ref="AG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1,600 x -24.94</v>
      </c>
      <c r="AH88" s="1370" t="str">
        <f ca="1">TEXT(MIN(Tab_NewTRADER[[#This Row],[L_Bn]],Tab_NewTRADER[[#This Row],[N]]),"#,#0")&amp;" x "&amp;TEXT(Tab_NewTRADER[[#This Row],[L_Bp]],"#,#0.#0")</f>
        <v>1,600 x -24.94</v>
      </c>
      <c r="AI88" s="1370">
        <f ca="1">IF(Tab_NewTRADER[[#This Row],[M]]&lt;_xlfn.XLOOKUP(Tab_NewTRADER[[#This Row],[ClickTick]],TabCalc[Ticker],TabCalc[Max_Buy_P]), 0,Tab_NewTRADER[[#This Row],[Sale_Back_$]])</f>
        <v>0</v>
      </c>
      <c r="AJ88" s="1370" t="str">
        <f ca="1">TEXT(Tab_NewTRADER[[#This Row],[L_Sn]],"#,#0")&amp;" ("&amp;Tab_NewTRADER[[#This Row],[M]]&amp;"/"&amp;TEXT(Tab_NewTRADER[[#This Row],[L_Sp]],"#,#0.#0)")</f>
        <v>2,010 (24.375/29.90)</v>
      </c>
      <c r="AK88" s="1370">
        <f ca="1">IF(Tab_NewTRADER[[#This Row],[M]]&lt;_xlfn.XLOOKUP(Tab_NewTRADER[[#This Row],[ClickTick]],TabCalc[Ticker],TabCalc[Max_Buy_P]), -Tab_NewTRADER[[#This Row],[Buy_Back]], 0)</f>
        <v>8820.5268479999995</v>
      </c>
      <c r="AL88" s="1177" cm="1">
        <f t="array" aca="1" ref="AL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901.64960000000201</v>
      </c>
      <c r="AM88" s="1177">
        <f ca="1">Tab_NewTRADER[[#This Row],[N]]*(Tab_NewTRADER[[#This Row],[M]]-Tab_NewTRADER[[#This Row],[A]])*(1-Commission)*Tab_NewTRADER[[#This Row],[Scale]]</f>
        <v>-901.64960000000201</v>
      </c>
      <c r="AN88" s="1177">
        <f ca="1">Tab_NewTRADER[[#This Row],[M]]*Tab_NewTRADER[[#This Row],[N]]*(1-Commission)*Tab_NewTRADER[[#This Row],[Scale]]</f>
        <v>38898.6</v>
      </c>
      <c r="AO88" s="1186" cm="1">
        <f t="array" aca="1" ref="AO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2.2654370489174069E-2</v>
      </c>
      <c r="AP88" s="1186" cm="1">
        <f t="array" aca="1" ref="AP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2.0579487179487231E-2</v>
      </c>
      <c r="AQ88" s="825" t="str" cm="1">
        <f t="array" aca="1" ref="AQ88" ca="1">_xlfn.IFS(   Tab_NewTRADER[[#This Row],[Trap_vs_Last]]=SellMorePercentGain,                     MIN(Tab_NewTRADER[[#This Row],[L_Sn]],Tab_NewTRADER[[#This Row],[N]])*(Tab_NewTRADER[[#This Row],[M]]-Tab_NewTRADER[[#This Row],[L_Sp]])*(1-Commission)*Tab_NewTRADER[[#This Row],[Scale]],                    TRUE,"")</f>
        <v/>
      </c>
      <c r="AR88" s="1175">
        <f ca="1">_xlfn.XLOOKUP(Tab_NewTRADER[[#This Row],[ClickTick]],TabCalc[Ticker],TabCalc[Ann%RevLB])</f>
        <v>-2.3235251783768274E-2</v>
      </c>
      <c r="AS88" s="1175">
        <f ca="1">_xlfn.XLOOKUP(Tab_NewTRADER[[#This Row],[ClickTick]],TabCalc[Ticker],TabCalc[Up20])</f>
        <v>0</v>
      </c>
      <c r="AT88" s="1187" cm="1">
        <f t="array" aca="1" ref="AT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2.3179487179487233E-2</v>
      </c>
      <c r="AU88" s="825" cm="1">
        <f t="array" aca="1" ref="AU88" ca="1">_xlfn.IFS(         Tab_NewTRADER[[#This Row],[Trap_vs_Last]]=MDown,Tab_NewTRADER[[#This Row],[L_Bn]]*Tab_NewTRADER[[#This Row],[M]]*(-(Tab_NewTRADER[[#This Row],[L_Bp]]+Tab_NewTRADER[[#This Row],[M]])/Tab_NewTRADER[[#This Row],[M]])*(1-Commission)*Tab_NewTRADER[[#This Row],[Scale]],                               TRUE,"")</f>
        <v>901.64960000000201</v>
      </c>
      <c r="AV88" s="1186" cm="1">
        <f t="array" aca="1" ref="AV88" ca="1">_xlfn.IFS(   Tab_NewTRADER[[#This Row],[Trap_vs_Last]]=MUp,Tab_NewTRADER[[#This Row],[TakeGain_A]]-Commission,        Tab_NewTRADER[[#This Row],[Trap_vs_Last]]=MDown,(Tab_NewTRADER[[#This Row],[A]]-Tab_NewTRADER[[#This Row],[M]])/Tab_NewTRADER[[#This Row],[M]]-Commission,                              TRUE,"")</f>
        <v>2.0579487179487231E-2</v>
      </c>
      <c r="AW88" s="760" cm="1">
        <f t="array" aca="1" ref="AW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901.64960000000201</v>
      </c>
      <c r="AX88" s="760" t="str" cm="1">
        <f t="array" aca="1" ref="AX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88" s="736" cm="1">
        <f t="array" aca="1" ref="AY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-0.56000000000000005</v>
      </c>
      <c r="AZ88" s="765" cm="1">
        <f t="array" aca="1" ref="AZ88" ca="1">_xlfn.IFS(Tab_NewTRADER[[#This Row],[Trap_vs_Last]]=ReSaleGain,"",         Tab_NewTRADER[[#This Row],[Trap_vs_Last]]=MDown, (Tab_NewTRADER[[#This Row],[M]]-Tab_NewTRADER[[#This Row],[A]])/Tab_NewTRADER[[#This Row],[A]]*ComFactor,             TRUE, IFERROR((Tab_NewTRADER[[#This Row],[M]]-Tab_NewTRADER[[#This Row],[A]])/Tab_NewTRADER[[#This Row],[A]]*ComFactor,""))</f>
        <v>-2.2595469125902216E-2</v>
      </c>
      <c r="BA88" s="762" cm="1">
        <f t="array" aca="1" ref="BA88" ca="1">_xlfn.IFS(               Tab_NewTRADER[[#This Row],[Trap_vs_Last]]=NoStock,(Tab_NewTRADER[[#This Row],[L_Sp]]-Tab_NewTRADER[[#This Row],[M]])/Tab_NewTRADER[[#This Row],[M]]-Commission,             Tab_NewTRADER[[#This Row],[A]]&lt;&gt;0,(Tab_NewTRADER[[#This Row],[A]]-Tab_NewTRADER[[#This Row],[M]])/Tab_NewTRADER[[#This Row],[M]]-Commission)</f>
        <v>2.0579487179487231E-2</v>
      </c>
      <c r="BB88" s="324">
        <f ca="1">_xlfn.XLOOKUP(Tab_NewTRADER[[#This Row],[ClickTick]],TabCalc[Ticker],TabCalc[L_Sn])</f>
        <v>2010</v>
      </c>
      <c r="BC88" s="728">
        <f ca="1">_xlfn.XLOOKUP(Tab_NewTRADER[[#This Row],[ClickTick]],TabCalc[Ticker],TabCalc[L_Sp])</f>
        <v>29.902200000000001</v>
      </c>
      <c r="BD88" s="764">
        <f ca="1">-IFERROR((Tab_NewTRADER[[#This Row],[M]]-Tab_NewTRADER[[#This Row],[L_Sp]])/Tab_NewTRADER[[#This Row],[L_Sp]],0)</f>
        <v>0.18484258683307583</v>
      </c>
      <c r="BE88" s="729">
        <f ca="1">MIN(Tab_NewTRADER[[#This Row],[L_Sn]],Tab_NewTRADER[[#This Row],[N]])*(Tab_NewTRADER[[#This Row],[M]]-Tab_NewTRADER[[#This Row],[L_Sp]])*(1-Commission)*Tab_NewTRADER[[#This Row],[Scale]]</f>
        <v>-8820.5268479999995</v>
      </c>
      <c r="BF88" s="692">
        <f ca="1">Tab_NewTRADER[[#This Row],[L_Sn]]*(Tab_NewTRADER[[#This Row],[Agiotage]]-Tab_NewTRADER[[#This Row],[M]])/(Tab_NewTRADER[[#This Row],[L_Bn]]*Tab_NewTRADER[[#This Row],[M]])</f>
        <v>-1.1773397369441301</v>
      </c>
      <c r="BG88" s="635">
        <f ca="1">IFERROR((Tab_NewTRADER[[#This Row],[M]]-Tab_NewTRADER[[#This Row],[A]])/Tab_NewTRADER[[#This Row],[A]],0)</f>
        <v>-2.2654370489174069E-2</v>
      </c>
      <c r="BH88" s="638" t="str">
        <f ca="1">TEXT(_xlfn.XLOOKUP(Tab_NewTRADER[[#This Row],[ClickTick]],TabCalc[Ticker],TabCalc[NAfter]),"#,#0")&amp;" : "&amp;TEXT(_xlfn.XLOOKUP(Tab_NewTRADER[[#This Row],[ClickTick]],TabCalc[Ticker],TabCalc[NAfter])*(Tab_NewTRADER[[#This Row],[M]]-Tab_NewTRADER[[#This Row],[A]])*(1-Commission)*Tab_NewTRADER[[#This Row],[Scale]],"#,#0$")</f>
        <v>1,600 : -902$</v>
      </c>
      <c r="BI88" s="684">
        <f ca="1">_xlfn.XLOOKUP(Tab_NewTRADER[[#This Row],[ClickTick]],TabCalc[[#This Row],[Ticker]],TabCalc[[#This Row],[GL]])*(1-Commission)</f>
        <v>-8929.7999972000016</v>
      </c>
      <c r="BJ88" s="684"/>
      <c r="BK88" s="669" t="str">
        <f ca="1">Tab_NewTRADER[[#This Row],[ClickTick]]&amp;": "&amp;_xlfn.XLOOKUP(Tab_NewTRADER[[#This Row],[ClickTick]],TabCalc[Ticker],TabCalc[Pile?])</f>
        <v xml:space="preserve">PFE: </v>
      </c>
      <c r="BL88" s="351" t="s">
        <v>2029</v>
      </c>
      <c r="BM88" s="755" t="str" cm="1">
        <f t="array" aca="1" ref="BM88" ca="1">_xlfn.TEXTJOIN("",,INDEX({"M","A","Y"}, _xlfn.SORTBY({1,2,3}, -CHOOSE({1,2,3}, Tab_NewTRADER[[#This Row],[M]], Tab_NewTRADER[[#This Row],[A]], Tab_NewTRADER[[#This Row],[Agiotage]]))))</f>
        <v>AMY</v>
      </c>
      <c r="BN88" s="909" cm="1">
        <f t="array" aca="1" ref="BN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2.3179487179487233E-2</v>
      </c>
      <c r="BO88" s="679" t="e">
        <f ca="1">Tab_NewTRADER[[#This Row],[L_Sn]]*Tab_NewTRADER[[#This Row],[L_Sp]]+Tab_NewTRADER[[#This Row],[SellMore]]*Tab_NewTRADER[[#This Row],[M]]</f>
        <v>#N/A</v>
      </c>
      <c r="BP88" s="679" t="e">
        <f ca="1">INDEX(
  INDEX(TabConsolid[], , _xlfn.XMATCH(Tab_NewTRADER[[#This Row],[ClickTick]]&amp;1, TabConsolid[#Headers])),
  MATCH(
    -Tab_NewTRADER[[#This Row],[M]],
    INDEX(TabConsolid[], , _xlfn.XMATCH(Tab_NewTRADER[[#This Row],[ClickTick]]&amp;2, TabConsolid[#Headers])),
    -1
  )
)</f>
        <v>#N/A</v>
      </c>
      <c r="BQ88" s="679" cm="1">
        <f t="array" aca="1" ref="BQ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8" s="1156" t="e">
        <f ca="1">Tab_NewTRADER[[#This Row],[ReBuy]]/(Tab_NewTRADER[[#This Row],[L_Sn]]+Tab_NewTRADER[[#This Row],[SellMore]])</f>
        <v>#N/A</v>
      </c>
      <c r="BS88" s="687">
        <f ca="1">((_xlfn.XLOOKUP(Tab_NewTRADER[[#This Row],[ClickTick]],TabCalc[Ticker],TabCalc[NAfter])+Tab_NewTRADER[[#This Row],[L_Sn]])*(Tab_NewTRADER[[#This Row],[Agiotage]]-Tab_NewTRADER[[#This Row],[M]]))/(Tab_NewTRADER[[#This Row],[L_Sn]]*_xlfn.XLOOKUP(Tab_NewTRADER[[#This Row],[ClickTick]],TabCalc[Ticker],TabCalc[NAfter]))</f>
        <v>-2.5642567876470273E-2</v>
      </c>
      <c r="BT88" s="687">
        <f ca="1">(Tab_NewTRADER[[#This Row],[M]]-Tab_NewTRADER[[#This Row],[Agiotage]])/(Tab_NewTRADER[[#This Row],[M]]-Tab_NewTRADER[[#This Row],[A]])-1</f>
        <v>-41.431690873791197</v>
      </c>
      <c r="BU88" s="1277">
        <f ca="1">_xlfn.XMATCH(Tab_NewTRADER[[#This Row],[ClickTick]]&amp;1, TabConsolid[#Headers])</f>
        <v>260</v>
      </c>
      <c r="BV88" t="str">
        <f ca="1">IF(ABS(Tab_NewTRADER[[#This Row],[L_Bp]])&gt;=Tab_NewTRADER[[#This Row],[M]],"OK")</f>
        <v>OK</v>
      </c>
    </row>
    <row r="89" spans="1:74"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+7,540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14.6%</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8,621/43,000=34,138</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23,000$</v>
      </c>
      <c r="G89" s="225" t="str">
        <f ca="1">IFERROR(TRUNC(_xlfn.XLOOKUP(Tab_NewTRADER[[#This Row],[ClickTick]],TabCalc[Ticker],ListLastSalep),2)&amp;"x"&amp;_xlfn.XLOOKUP(Tab_NewTRADER[[#This Row],[ClickTick]],TabCalc[Ticker],ListLastSalen)&amp;"=   "&amp;TEXT(-_xlfn.XLOOKUP(Tab_NewTRADER[[#This Row],[ClickTick]],TabCalc[Ticker],ListReverseB),"#,#0")&amp;"$","")</f>
        <v>3.95x5000=   25$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0</v>
      </c>
      <c r="I89" s="226" t="str">
        <f ca="1">IFERROR(TRUNC(TabCalc[[#This Row],[L_S1p]],2)&amp;"x"&amp;TabCalc[[#This Row],[L_S1n]]&amp;"=   "&amp;TEXT(TabCalc[[#This Row],[ReverseB1]],"#,#0"),"")</f>
        <v>5.83x3000=   5,620</v>
      </c>
      <c r="J89" s="295">
        <f ca="1">_xlfn.XLOOKUP(Tab_NewTRADER[[#This Row],[ClickTick]],TabCalc[Ticker],ListGravity)</f>
        <v>0.99844696969696978</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142560</v>
      </c>
      <c r="M89" s="323">
        <f ca="1">_xlfn.XLOOKUP(Tab_NewTRADER[[#This Row],[ClickTick]],TabCalc[Ticker],TabCalc[Agiotage])</f>
        <v>0.60737840672962018</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0.17159763313609469</v>
      </c>
      <c r="S89" s="683">
        <f ca="1">_xlfn.XLOOKUP(Tab_NewTRADER[[#This Row],[ClickTick]],TabCalc[Ticker],TabCalc[Rev(MinStock)])*(1-Commission)</f>
        <v>7520.3960000000006</v>
      </c>
      <c r="T89" s="782">
        <f ca="1">_xlfn.XLOOKUP(Tab_NewTRADER[[#This Row],[ClickTick]],TabCalc[Ticker],TabCalc[Agiotage])</f>
        <v>0.60737840672962018</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3,010/3,010=&gt;1.5% / 1.5%</v>
      </c>
      <c r="V89" s="739" t="str">
        <f ca="1">_xlfn.XLOOKUP(Tab_NewTRADER[[#This Row],[ClickTick]],[1]!RTData[Ticker_Symbol],[1]!RTData[Currency])</f>
        <v>USD</v>
      </c>
      <c r="W89" s="749">
        <f ca="1">_xlfn.XLOOKUP(Tab_NewTRADER[[#This Row],[ClickTick]],TabCalc[Ticker],TabCalc[M])</f>
        <v>3.96</v>
      </c>
      <c r="X89" s="1343"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3.5051041666666665</v>
      </c>
      <c r="AB89" s="817" cm="1">
        <f t="array" aca="1" ref="AB89" ca="1">_xlfn.XLOOKUP(Tab_NewTRADER[[#This Row],[ClickTick]],ListTickers,Tab1ChangePercent[Change%19])</f>
        <v>1.5384999999999999E-2</v>
      </c>
      <c r="AC89" s="768">
        <f ca="1">_xlfn.XLOOKUP(Tab_NewTRADER[[#This Row],[ClickTick]],TabCalc[Ticker],TabCalc[NAfter])</f>
        <v>43000</v>
      </c>
      <c r="AD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^28 / 170 K$</v>
      </c>
      <c r="AE89" s="1195" t="str" cm="1">
        <f t="array" aca="1" ref="AE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9" s="1177" t="str" cm="1">
        <f t="array" aca="1" ref="AF89" ca="1">_xlfn.IFS(       Tab_NewTRADER[[#This Row],[Trap_vs_Last]]=RePurchaseGain,TEXT(Tab_NewTRADER[[#This Row],[L_Sn]],"#,#0")&amp;" x "&amp;TEXT(Tab_NewTRADER[[#This Row],[L_Sp]],"#,#0.#0"),     Tab_NewTRADER[[#This Row],[Trap_vs_Last]]=ReSaleGain,Tab_NewTRADER[[#This Row],[ToSell]],               TRUE,"")</f>
        <v/>
      </c>
      <c r="AG89" s="1177" t="str" cm="1">
        <f t="array" aca="1" ref="AG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H89" s="1370" t="str">
        <f ca="1">TEXT(MIN(Tab_NewTRADER[[#This Row],[L_Bn]],Tab_NewTRADER[[#This Row],[N]]),"#,#0")&amp;" x "&amp;TEXT(Tab_NewTRADER[[#This Row],[L_Bp]],"#,#0.#0")</f>
        <v>13,000 x -3.38</v>
      </c>
      <c r="AI89" s="1370">
        <f ca="1">IF(Tab_NewTRADER[[#This Row],[M]]&lt;_xlfn.XLOOKUP(Tab_NewTRADER[[#This Row],[ClickTick]],TabCalc[Ticker],TabCalc[Max_Buy_P]), 0,Tab_NewTRADER[[#This Row],[Sale_Back_$]])</f>
        <v>0</v>
      </c>
      <c r="AJ89" s="1370" t="str">
        <f ca="1">TEXT(Tab_NewTRADER[[#This Row],[L_Sn]],"#,#0")&amp;" ("&amp;Tab_NewTRADER[[#This Row],[M]]&amp;"/"&amp;TEXT(Tab_NewTRADER[[#This Row],[L_Sp]],"#,#0.#0)")</f>
        <v>5,000 (3.96/3.96)</v>
      </c>
      <c r="AK89" s="1370">
        <f ca="1">IF(Tab_NewTRADER[[#This Row],[M]]&lt;_xlfn.XLOOKUP(Tab_NewTRADER[[#This Row],[ClickTick]],TabCalc[Ticker],TabCalc[Max_Buy_P]), -Tab_NewTRADER[[#This Row],[Buy_Back]], 0)</f>
        <v>-24.934999999999466</v>
      </c>
      <c r="AL89" s="1177" cm="1">
        <f t="array" aca="1" ref="AL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24.934999999999466</v>
      </c>
      <c r="AM89" s="1177">
        <f ca="1">Tab_NewTRADER[[#This Row],[N]]*(Tab_NewTRADER[[#This Row],[M]]-Tab_NewTRADER[[#This Row],[A]])*(1-Commission)*Tab_NewTRADER[[#This Row],[Scale]]</f>
        <v>19509.663479166673</v>
      </c>
      <c r="AN89" s="1177">
        <f ca="1">Tab_NewTRADER[[#This Row],[M]]*Tab_NewTRADER[[#This Row],[N]]*(1-Commission)*Tab_NewTRADER[[#This Row],[Scale]]</f>
        <v>169837.272</v>
      </c>
      <c r="AO89" s="1186" cm="1">
        <f t="array" aca="1" ref="AO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0.12978097417456691</v>
      </c>
      <c r="AP89" s="1186" cm="1">
        <f t="array" aca="1" ref="AP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-1.3373737373737643E-3</v>
      </c>
      <c r="AQ89" s="825" cm="1">
        <f t="array" aca="1" ref="AQ89" ca="1">_xlfn.IFS(   Tab_NewTRADER[[#This Row],[Trap_vs_Last]]=SellMorePercentGain,                     MIN(Tab_NewTRADER[[#This Row],[L_Sn]],Tab_NewTRADER[[#This Row],[N]])*(Tab_NewTRADER[[#This Row],[M]]-Tab_NewTRADER[[#This Row],[L_Sp]])*(1-Commission)*Tab_NewTRADER[[#This Row],[Scale]],                    TRUE,"")</f>
        <v>24.934999999999466</v>
      </c>
      <c r="AR89" s="1175">
        <f ca="1">_xlfn.XLOOKUP(Tab_NewTRADER[[#This Row],[ClickTick]],TabCalc[Ticker],TabCalc[Ann%RevLB])</f>
        <v>1.3429379984563932</v>
      </c>
      <c r="AS89" s="1282">
        <f ca="1">_xlfn.XLOOKUP(Tab_NewTRADER[[#This Row],[ClickTick]],TabCalc[Ticker],TabCalc[Up20])</f>
        <v>0</v>
      </c>
      <c r="AT89" s="1187" t="str" cm="1">
        <f t="array" aca="1" ref="AT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89" s="825" t="str" cm="1">
        <f t="array" aca="1" ref="AU89" ca="1">_xlfn.IFS(         Tab_NewTRADER[[#This Row],[Trap_vs_Last]]=MDown,Tab_NewTRADER[[#This Row],[L_Bn]]*Tab_NewTRADER[[#This Row],[M]]*(-(Tab_NewTRADER[[#This Row],[L_Bp]]+Tab_NewTRADER[[#This Row],[M]])/Tab_NewTRADER[[#This Row],[M]])*(1-Commission)*Tab_NewTRADER[[#This Row],[Scale]],                               TRUE,"")</f>
        <v/>
      </c>
      <c r="AV89" s="1186" cm="1">
        <f t="array" aca="1" ref="AV89" ca="1">_xlfn.IFS(   Tab_NewTRADER[[#This Row],[Trap_vs_Last]]=MUp,Tab_NewTRADER[[#This Row],[TakeGain_A]]-Commission,        Tab_NewTRADER[[#This Row],[Trap_vs_Last]]=MDown,(Tab_NewTRADER[[#This Row],[A]]-Tab_NewTRADER[[#This Row],[M]])/Tab_NewTRADER[[#This Row],[M]]-Commission,                              TRUE,"")</f>
        <v>0.12718097417456692</v>
      </c>
      <c r="AW89" s="760" cm="1">
        <f t="array" aca="1" ref="AW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22041.646611310895</v>
      </c>
      <c r="AX89" s="760" t="str" cm="1">
        <f t="array" aca="1" ref="AX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-1.0%</v>
      </c>
      <c r="AY89" s="736" t="str" cm="1">
        <f t="array" aca="1" ref="AY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13,000x0.45</v>
      </c>
      <c r="AZ89" s="765" cm="1">
        <f t="array" aca="1" ref="AZ89" ca="1">_xlfn.IFS(Tab_NewTRADER[[#This Row],[Trap_vs_Last]]=ReSaleGain,"",         Tab_NewTRADER[[#This Row],[Trap_vs_Last]]=MDown, (Tab_NewTRADER[[#This Row],[M]]-Tab_NewTRADER[[#This Row],[A]])/Tab_NewTRADER[[#This Row],[A]]*ComFactor,             TRUE, IFERROR((Tab_NewTRADER[[#This Row],[M]]-Tab_NewTRADER[[#This Row],[A]])/Tab_NewTRADER[[#This Row],[A]]*ComFactor,""))</f>
        <v>0.12944354364171304</v>
      </c>
      <c r="BA89" s="762" cm="1">
        <f t="array" aca="1" ref="BA89" ca="1">_xlfn.IFS(               Tab_NewTRADER[[#This Row],[Trap_vs_Last]]=NoStock,(Tab_NewTRADER[[#This Row],[L_Sp]]-Tab_NewTRADER[[#This Row],[M]])/Tab_NewTRADER[[#This Row],[M]]-Commission,             Tab_NewTRADER[[#This Row],[A]]&lt;&gt;0,(Tab_NewTRADER[[#This Row],[A]]-Tab_NewTRADER[[#This Row],[M]])/Tab_NewTRADER[[#This Row],[M]]-Commission)</f>
        <v>-0.11747268518518524</v>
      </c>
      <c r="BB89" s="324">
        <f ca="1">_xlfn.XLOOKUP(Tab_NewTRADER[[#This Row],[ClickTick]],TabCalc[Ticker],TabCalc[L_Sn])</f>
        <v>5000</v>
      </c>
      <c r="BC89" s="728">
        <f ca="1">_xlfn.XLOOKUP(Tab_NewTRADER[[#This Row],[ClickTick]],TabCalc[Ticker],TabCalc[L_Sp])</f>
        <v>3.9550000000000001</v>
      </c>
      <c r="BD89" s="764">
        <f ca="1">-IFERROR((Tab_NewTRADER[[#This Row],[M]]-Tab_NewTRADER[[#This Row],[L_Sp]])/Tab_NewTRADER[[#This Row],[L_Sp]],0)</f>
        <v>-1.2642225031605293E-3</v>
      </c>
      <c r="BE89" s="729">
        <f ca="1">MIN(Tab_NewTRADER[[#This Row],[L_Sn]],Tab_NewTRADER[[#This Row],[N]])*(Tab_NewTRADER[[#This Row],[M]]-Tab_NewTRADER[[#This Row],[L_Sp]])*(1-Commission)*Tab_NewTRADER[[#This Row],[Scale]]</f>
        <v>24.934999999999466</v>
      </c>
      <c r="BF89" s="692">
        <f ca="1">Tab_NewTRADER[[#This Row],[L_Sn]]*(Tab_NewTRADER[[#This Row],[Agiotage]]-Tab_NewTRADER[[#This Row],[M]])/(Tab_NewTRADER[[#This Row],[L_Bn]]*Tab_NewTRADER[[#This Row],[M]])</f>
        <v>-0.32562369787008349</v>
      </c>
      <c r="BG89" s="635">
        <f ca="1">IFERROR((Tab_NewTRADER[[#This Row],[M]]-Tab_NewTRADER[[#This Row],[A]])/Tab_NewTRADER[[#This Row],[A]],0)</f>
        <v>0.12978097417456691</v>
      </c>
      <c r="BH89" s="638" t="str">
        <f ca="1">TEXT(_xlfn.XLOOKUP(Tab_NewTRADER[[#This Row],[ClickTick]],TabCalc[Ticker],TabCalc[NAfter]),"#,#0")&amp;" : "&amp;TEXT(_xlfn.XLOOKUP(Tab_NewTRADER[[#This Row],[ClickTick]],TabCalc[Ticker],TabCalc[NAfter])*(Tab_NewTRADER[[#This Row],[M]]-Tab_NewTRADER[[#This Row],[A]])*(1-Commission)*Tab_NewTRADER[[#This Row],[Scale]],"#,#0$")</f>
        <v>43,000 : 19,510$</v>
      </c>
      <c r="BI89" s="684">
        <f ca="1">_xlfn.XLOOKUP(Tab_NewTRADER[[#This Row],[ClickTick]],TabCalc[[#This Row],[Ticker]],TabCalc[[#This Row],[GL]])*(1-Commission)</f>
        <v>28156.701740000004</v>
      </c>
      <c r="BJ89" s="684"/>
      <c r="BK89" s="669" t="str">
        <f ca="1">Tab_NewTRADER[[#This Row],[ClickTick]]&amp;": "&amp;_xlfn.XLOOKUP(Tab_NewTRADER[[#This Row],[ClickTick]],TabCalc[Ticker],TabCalc[Pile?])</f>
        <v xml:space="preserve">RIG: </v>
      </c>
      <c r="BL89" s="351" t="s">
        <v>2030</v>
      </c>
      <c r="BM89" s="755" t="str" cm="1">
        <f t="array" aca="1" ref="BM89" ca="1">_xlfn.TEXTJOIN("",,INDEX({"M","A","Y"}, _xlfn.SORTBY({1,2,3}, -CHOOSE({1,2,3}, Tab_NewTRADER[[#This Row],[M]], Tab_NewTRADER[[#This Row],[A]], Tab_NewTRADER[[#This Row],[Agiotage]]))))</f>
        <v>MAY</v>
      </c>
      <c r="BN89" s="909" cm="1">
        <f t="array" aca="1" ref="BN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1.2626262626262356E-3</v>
      </c>
      <c r="BO89" s="679">
        <f ca="1">Tab_NewTRADER[[#This Row],[L_Sn]]*Tab_NewTRADER[[#This Row],[L_Sp]]+Tab_NewTRADER[[#This Row],[SellMore]]*Tab_NewTRADER[[#This Row],[M]]</f>
        <v>31655</v>
      </c>
      <c r="BP89" s="679">
        <f ca="1">INDEX(
  INDEX(TabConsolid[], , _xlfn.XMATCH(Tab_NewTRADER[[#This Row],[ClickTick]]&amp;1, TabConsolid[#Headers])),
  MATCH(
    -Tab_NewTRADER[[#This Row],[M]],
    INDEX(TabConsolid[], , _xlfn.XMATCH(Tab_NewTRADER[[#This Row],[ClickTick]]&amp;2, TabConsolid[#Headers])),
    -1
  )
)</f>
        <v>3000</v>
      </c>
      <c r="BQ89" s="679" cm="1">
        <f t="array" aca="1" ref="BQ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89" s="1156">
        <f ca="1">Tab_NewTRADER[[#This Row],[ReBuy]]/(Tab_NewTRADER[[#This Row],[L_Sn]]+Tab_NewTRADER[[#This Row],[SellMore]])</f>
        <v>3.9568750000000001</v>
      </c>
      <c r="BS89" s="687">
        <f ca="1">((_xlfn.XLOOKUP(Tab_NewTRADER[[#This Row],[ClickTick]],TabCalc[Ticker],TabCalc[NAfter])+Tab_NewTRADER[[#This Row],[L_Sn]])*(Tab_NewTRADER[[#This Row],[Agiotage]]-Tab_NewTRADER[[#This Row],[M]]))/(Tab_NewTRADER[[#This Row],[L_Sn]]*_xlfn.XLOOKUP(Tab_NewTRADER[[#This Row],[ClickTick]],TabCalc[Ticker],TabCalc[NAfter]))</f>
        <v>-7.4849226268361956E-4</v>
      </c>
      <c r="BT89" s="687">
        <f ca="1">(Tab_NewTRADER[[#This Row],[M]]-Tab_NewTRADER[[#This Row],[Agiotage]])/(Tab_NewTRADER[[#This Row],[M]]-Tab_NewTRADER[[#This Row],[A]])-1</f>
        <v>6.3700863969305317</v>
      </c>
      <c r="BU89" s="1277">
        <f ca="1">_xlfn.XMATCH(Tab_NewTRADER[[#This Row],[ClickTick]]&amp;1, TabConsolid[#Headers])</f>
        <v>263</v>
      </c>
      <c r="BV89" t="b">
        <f ca="1">IF(ABS(Tab_NewTRADER[[#This Row],[L_Bp]])&gt;=Tab_NewTRADER[[#This Row],[M]],"OK")</f>
        <v>0</v>
      </c>
    </row>
    <row r="90" spans="1:74"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7,855$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-4.2% = 0</v>
      </c>
      <c r="I90" s="226" t="str">
        <f ca="1">IFERROR(TRUNC(TabCalc[[#This Row],[L_S1p]],2)&amp;"x"&amp;TabCalc[[#This Row],[L_S1n]]&amp;"=   "&amp;TEXT(TabCalc[[#This Row],[ReverseB1]],"#,#0"),"")</f>
        <v>33.25x1300=   -5,434</v>
      </c>
      <c r="J90" s="295">
        <f ca="1">_xlfn.XLOOKUP(Tab_NewTRADER[[#This Row],[ClickTick]],TabCalc[Ticker],ListGravity)</f>
        <v>1.1064766230296552</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0.49833028033451637</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1.7420920870584007E-2</v>
      </c>
      <c r="S90" s="683">
        <f ca="1">_xlfn.XLOOKUP(Tab_NewTRADER[[#This Row],[ClickTick]],TabCalc[Ticker],TabCalc[Rev(MinStock)])*(1-Commission)</f>
        <v>0</v>
      </c>
      <c r="T90" s="782">
        <f ca="1">_xlfn.XLOOKUP(Tab_NewTRADER[[#This Row],[ClickTick]],TabCalc[Ticker],TabCalc[Agiotage])</f>
        <v>0.49833028033451637</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1.9%</v>
      </c>
      <c r="V90" s="739" t="str">
        <f ca="1">_xlfn.XLOOKUP(Tab_NewTRADER[[#This Row],[ClickTick]],[1]!RTData[Ticker_Symbol],[1]!RTData[Currency])</f>
        <v>USD</v>
      </c>
      <c r="W90" s="749">
        <f ca="1">_xlfn.XLOOKUP(Tab_NewTRADER[[#This Row],[ClickTick]],TabCalc[Ticker],TabCalc[M])</f>
        <v>37.43</v>
      </c>
      <c r="X90" s="1343"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E90" s="1195" t="str" cm="1">
        <f t="array" aca="1" ref="AE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90" s="1177" t="str" cm="1">
        <f t="array" aca="1" ref="AF90" ca="1">_xlfn.IFS(       Tab_NewTRADER[[#This Row],[Trap_vs_Last]]=RePurchaseGain,TEXT(Tab_NewTRADER[[#This Row],[L_Sn]],"#,#0")&amp;" x "&amp;TEXT(Tab_NewTRADER[[#This Row],[L_Sp]],"#,#0.#0"),     Tab_NewTRADER[[#This Row],[Trap_vs_Last]]=ReSaleGain,Tab_NewTRADER[[#This Row],[ToSell]],               TRUE,"")</f>
        <v/>
      </c>
      <c r="AG90" s="1177" t="str" cm="1">
        <f t="array" aca="1" ref="AG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90" s="1370" t="str">
        <f ca="1">TEXT(MIN(Tab_NewTRADER[[#This Row],[L_Bn]],Tab_NewTRADER[[#This Row],[N]]),"#,#0")&amp;" x "&amp;TEXT(Tab_NewTRADER[[#This Row],[L_Bp]],"#,#0.#0")</f>
        <v>0 x -36.79</v>
      </c>
      <c r="AI90" s="1370">
        <f ca="1">IF(Tab_NewTRADER[[#This Row],[M]]&lt;_xlfn.XLOOKUP(Tab_NewTRADER[[#This Row],[ClickTick]],TabCalc[Ticker],TabCalc[Max_Buy_P]), 0,Tab_NewTRADER[[#This Row],[Sale_Back_$]])</f>
        <v>0</v>
      </c>
      <c r="AJ90" s="1370" t="str">
        <f ca="1">TEXT(Tab_NewTRADER[[#This Row],[L_Sn]],"#,#0")&amp;" ("&amp;Tab_NewTRADER[[#This Row],[M]]&amp;"/"&amp;TEXT(Tab_NewTRADER[[#This Row],[L_Sp]],"#,#0.#0)")</f>
        <v>5,000 (37.43/35.86)</v>
      </c>
      <c r="AK90" s="1370">
        <f ca="1">IF(Tab_NewTRADER[[#This Row],[M]]&lt;_xlfn.XLOOKUP(Tab_NewTRADER[[#This Row],[ClickTick]],TabCalc[Ticker],TabCalc[Max_Buy_P]), -Tab_NewTRADER[[#This Row],[Buy_Back]], 0)</f>
        <v>0</v>
      </c>
      <c r="AL90" s="1177" t="str" cm="1">
        <f t="array" aca="1" ref="AL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0" s="1177">
        <f ca="1">Tab_NewTRADER[[#This Row],[N]]*(Tab_NewTRADER[[#This Row],[M]]-Tab_NewTRADER[[#This Row],[A]])*(1-Commission)*Tab_NewTRADER[[#This Row],[Scale]]</f>
        <v>0</v>
      </c>
      <c r="AN90" s="1177">
        <f ca="1">Tab_NewTRADER[[#This Row],[M]]*Tab_NewTRADER[[#This Row],[N]]*(1-Commission)*Tab_NewTRADER[[#This Row],[Scale]]</f>
        <v>0</v>
      </c>
      <c r="AO90" s="1186" t="str" cm="1">
        <f t="array" aca="1" ref="AO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90" s="1186" t="str" cm="1">
        <f t="array" aca="1" ref="AP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Tab_NewTRADER[[#This Row],[Trap_vs_Last]]=SellMorePercentGain,                     MIN(Tab_NewTRADER[[#This Row],[L_Sn]],Tab_NewTRADER[[#This Row],[N]])*(Tab_NewTRADER[[#This Row],[M]]-Tab_NewTRADER[[#This Row],[L_Sp]])*(1-Commission)*Tab_NewTRADER[[#This Row],[Scale]],                    TRUE,"")</f>
        <v/>
      </c>
      <c r="AR90" s="1192">
        <f ca="1">_xlfn.XLOOKUP(Tab_NewTRADER[[#This Row],[ClickTick]],TabCalc[Ticker],TabCalc[Ann%RevLB])</f>
        <v>2.0101062542981548E-2</v>
      </c>
      <c r="AS90" s="1281">
        <f ca="1">_xlfn.XLOOKUP(Tab_NewTRADER[[#This Row],[ClickTick]],TabCalc[Ticker],TabCalc[Up20])</f>
        <v>0.5</v>
      </c>
      <c r="AT90" s="1187" t="str" cm="1">
        <f t="array" aca="1" ref="AT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0" s="825" t="str" cm="1">
        <f t="array" aca="1" ref="AU90" ca="1">_xlfn.IFS(         Tab_NewTRADER[[#This Row],[Trap_vs_Last]]=MDown,Tab_NewTRADER[[#This Row],[L_Bn]]*Tab_NewTRADER[[#This Row],[M]]*(-(Tab_NewTRADER[[#This Row],[L_Bp]]+Tab_NewTRADER[[#This Row],[M]])/Tab_NewTRADER[[#This Row],[M]])*(1-Commission)*Tab_NewTRADER[[#This Row],[Scale]],                               TRUE,"")</f>
        <v/>
      </c>
      <c r="AV90" s="1186" t="str" cm="1">
        <f t="array" aca="1" ref="AV90" ca="1">_xlfn.IFS(   Tab_NewTRADER[[#This Row],[Trap_vs_Last]]=MUp,Tab_NewTRADER[[#This Row],[TakeGain_A]]-Commission,        Tab_NewTRADER[[#This Row],[Trap_vs_Last]]=MDown,(Tab_NewTRADER[[#This Row],[A]]-Tab_NewTRADER[[#This Row],[M]])/Tab_NewTRADER[[#This Row],[M]]-Commission,                              TRUE,"")</f>
        <v/>
      </c>
      <c r="AW90" s="825" cm="1">
        <f t="array" aca="1" ref="AW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90" s="760" t="str" cm="1">
        <f t="array" aca="1" ref="AX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Y90" s="736" t="str" cm="1">
        <f t="array" aca="1" ref="AY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0x37.43</v>
      </c>
      <c r="AZ90" s="765" t="str" cm="1">
        <f t="array" aca="1" ref="AZ90" ca="1">_xlfn.IFS(Tab_NewTRADER[[#This Row],[Trap_vs_Last]]=ReSaleGain,"",         Tab_NewTRADER[[#This Row],[Trap_vs_Last]]=MDown, (Tab_NewTRADER[[#This Row],[M]]-Tab_NewTRADER[[#This Row],[A]])/Tab_NewTRADER[[#This Row],[A]]*ComFactor,             TRUE, IFERROR((Tab_NewTRADER[[#This Row],[M]]-Tab_NewTRADER[[#This Row],[A]])/Tab_NewTRADER[[#This Row],[A]]*ComFactor,""))</f>
        <v/>
      </c>
      <c r="BA90" s="762" cm="1">
        <f t="array" aca="1" ref="BA90" ca="1">_xlfn.IFS(               Tab_NewTRADER[[#This Row],[Trap_vs_Last]]=NoStock,(Tab_NewTRADER[[#This Row],[L_Sp]]-Tab_NewTRADER[[#This Row],[M]])/Tab_NewTRADER[[#This Row],[M]]-Commission,             Tab_NewTRADER[[#This Row],[A]]&lt;&gt;0,(Tab_NewTRADER[[#This Row],[A]]-Tab_NewTRADER[[#This Row],[M]])/Tab_NewTRADER[[#This Row],[M]]-Commission)</f>
        <v>-4.4571680470211004E-2</v>
      </c>
      <c r="BB90" s="324">
        <f ca="1">_xlfn.XLOOKUP(Tab_NewTRADER[[#This Row],[ClickTick]],TabCalc[Ticker],TabCalc[L_Sn])</f>
        <v>5000</v>
      </c>
      <c r="BC90" s="728">
        <f ca="1">_xlfn.XLOOKUP(Tab_NewTRADER[[#This Row],[ClickTick]],TabCalc[Ticker],TabCalc[L_Sp])</f>
        <v>35.859000000000002</v>
      </c>
      <c r="BD90" s="764">
        <f ca="1">-IFERROR((Tab_NewTRADER[[#This Row],[M]]-Tab_NewTRADER[[#This Row],[L_Sp]])/Tab_NewTRADER[[#This Row],[L_Sp]],0)</f>
        <v>-4.3810479935302099E-2</v>
      </c>
      <c r="BE90" s="729">
        <f ca="1">MIN(Tab_NewTRADER[[#This Row],[L_Sn]],Tab_NewTRADER[[#This Row],[N]])*(Tab_NewTRADER[[#This Row],[M]]-Tab_NewTRADER[[#This Row],[L_Sp]])*(1-Commission)*Tab_NewTRADER[[#This Row],[Scale]]</f>
        <v>0</v>
      </c>
      <c r="BF90" s="692">
        <f ca="1">Tab_NewTRADER[[#This Row],[L_Sn]]*(Tab_NewTRADER[[#This Row],[Agiotage]]-Tab_NewTRADER[[#This Row],[M]])/(Tab_NewTRADER[[#This Row],[L_Bn]]*Tab_NewTRADER[[#This Row],[M]])</f>
        <v>-2.1449703051298936</v>
      </c>
      <c r="BG90" s="635">
        <f ca="1">IFERROR((Tab_NewTRADER[[#This Row],[M]]-Tab_NewTRADER[[#This Row],[A]])/Tab_NewTRADER[[#This Row],[A]],0)</f>
        <v>0</v>
      </c>
      <c r="BH90" s="638" t="str">
        <f ca="1">TEXT(_xlfn.XLOOKUP(Tab_NewTRADER[[#This Row],[ClickTick]],TabCalc[Ticker],TabCalc[NAfter]),"#,#0")&amp;" : "&amp;TEXT(_xlfn.XLOOKUP(Tab_NewTRADER[[#This Row],[ClickTick]],TabCalc[Ticker],TabCalc[NAfter])*(Tab_NewTRADER[[#This Row],[M]]-Tab_NewTRADER[[#This Row],[A]])*(1-Commission)*Tab_NewTRADER[[#This Row],[Scale]],"#,#0$")</f>
        <v>0 : 0$</v>
      </c>
      <c r="BI90" s="684">
        <f ca="1">_xlfn.XLOOKUP(Tab_NewTRADER[[#This Row],[ClickTick]],TabCalc[[#This Row],[Ticker]],TabCalc[[#This Row],[GL]])*(1-Commission)</f>
        <v>9777.9809779999723</v>
      </c>
      <c r="BJ90" s="684"/>
      <c r="BK90" s="669" t="str">
        <f ca="1">Tab_NewTRADER[[#This Row],[ClickTick]]&amp;": "&amp;_xlfn.XLOOKUP(Tab_NewTRADER[[#This Row],[ClickTick]],TabCalc[Ticker],TabCalc[Pile?])</f>
        <v>RRC: Pile</v>
      </c>
      <c r="BL90" s="351" t="s">
        <v>2031</v>
      </c>
      <c r="BM90" s="755" t="str" cm="1">
        <f t="array" aca="1" ref="BM90" ca="1">_xlfn.TEXTJOIN("",,INDEX({"M","A","Y"}, _xlfn.SORTBY({1,2,3}, -CHOOSE({1,2,3}, Tab_NewTRADER[[#This Row],[M]], Tab_NewTRADER[[#This Row],[A]], Tab_NewTRADER[[#This Row],[Agiotage]]))))</f>
        <v>MYA</v>
      </c>
      <c r="BN90" s="909" t="str" cm="1">
        <f t="array" aca="1" ref="BN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0" s="679" t="e">
        <f ca="1">Tab_NewTRADER[[#This Row],[L_Sn]]*Tab_NewTRADER[[#This Row],[L_Sp]]+Tab_NewTRADER[[#This Row],[SellMore]]*Tab_NewTRADER[[#This Row],[M]]</f>
        <v>#N/A</v>
      </c>
      <c r="BP90" s="679" t="e">
        <f ca="1">INDEX(
  INDEX(TabConsolid[], , _xlfn.XMATCH(Tab_NewTRADER[[#This Row],[ClickTick]]&amp;1, TabConsolid[#Headers])),
  MATCH(
    -Tab_NewTRADER[[#This Row],[M]],
    INDEX(TabConsolid[], , _xlfn.XMATCH(Tab_NewTRADER[[#This Row],[ClickTick]]&amp;2, TabConsolid[#Headers])),
    -1
  )
)</f>
        <v>#N/A</v>
      </c>
      <c r="BQ90" s="679" cm="1">
        <f t="array" aca="1" ref="BQ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0" s="1156" t="e">
        <f ca="1">Tab_NewTRADER[[#This Row],[ReBuy]]/(Tab_NewTRADER[[#This Row],[L_Sn]]+Tab_NewTRADER[[#This Row],[SellMore]])</f>
        <v>#N/A</v>
      </c>
      <c r="BS90" s="687" t="e">
        <f ca="1">((_xlfn.XLOOKUP(Tab_NewTRADER[[#This Row],[ClickTick]],TabCalc[Ticker],TabCalc[NAfter])+Tab_NewTRADER[[#This Row],[L_Sn]])*(Tab_NewTRADER[[#This Row],[Agiotage]]-Tab_NewTRADER[[#This Row],[M]]))/(Tab_NewTRADER[[#This Row],[L_Sn]]*_xlfn.XLOOKUP(Tab_NewTRADER[[#This Row],[ClickTick]],TabCalc[Ticker],TabCalc[NAfter]))</f>
        <v>#DIV/0!</v>
      </c>
      <c r="BT90" s="687">
        <f ca="1">(Tab_NewTRADER[[#This Row],[M]]-Tab_NewTRADER[[#This Row],[Agiotage]])/(Tab_NewTRADER[[#This Row],[M]]-Tab_NewTRADER[[#This Row],[A]])-1</f>
        <v>-1.3313659640248887E-2</v>
      </c>
      <c r="BU90" s="1277">
        <f ca="1">_xlfn.XMATCH(Tab_NewTRADER[[#This Row],[ClickTick]]&amp;1, TabConsolid[#Headers])</f>
        <v>266</v>
      </c>
      <c r="BV90" t="b">
        <f ca="1">IF(ABS(Tab_NewTRADER[[#This Row],[L_Bp]])&gt;=Tab_NewTRADER[[#This Row],[M]],"OK")</f>
        <v>0</v>
      </c>
    </row>
    <row r="91" spans="1:74"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-6,852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-17.4%</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3,228$</v>
      </c>
      <c r="G91" s="225" t="str">
        <f ca="1">IFERROR(TRUNC(_xlfn.XLOOKUP(Tab_NewTRADER[[#This Row],[ClickTick]],TabCalc[Ticker],ListLastSalep),2)&amp;"x"&amp;_xlfn.XLOOKUP(Tab_NewTRADER[[#This Row],[ClickTick]],TabCalc[Ticker],ListLastSalen)&amp;"=   "&amp;TEXT(-_xlfn.XLOOKUP(Tab_NewTRADER[[#This Row],[ClickTick]],TabCalc[Ticker],ListReverseB),"#,#0")&amp;"$","")</f>
        <v>61.26x2000=   8,520$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6.5% = 0</v>
      </c>
      <c r="I91" s="226" t="str">
        <f ca="1">IFERROR(TRUNC(TabCalc[[#This Row],[L_S1p]],2)&amp;"x"&amp;TabCalc[[#This Row],[L_S1n]]&amp;"=   "&amp;TEXT(TabCalc[[#This Row],[ReverseB1]],"#,#0"),"")</f>
        <v>67.82x1500=   3,450</v>
      </c>
      <c r="J91" s="295">
        <f ca="1">_xlfn.XLOOKUP(Tab_NewTRADER[[#This Row],[ClickTick]],TabCalc[Ticker],ListGravity)</f>
        <v>1.3508128815628817</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9828</v>
      </c>
      <c r="M91" s="323">
        <f ca="1">_xlfn.XLOOKUP(Tab_NewTRADER[[#This Row],[ClickTick]],TabCalc[Ticker],TabCalc[Agiotage])</f>
        <v>3.4106299247859022</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-0.14842734598388357</v>
      </c>
      <c r="S91" s="683">
        <f ca="1">_xlfn.XLOOKUP(Tab_NewTRADER[[#This Row],[ClickTick]],TabCalc[Ticker],TabCalc[Rev(MinStock)])*(1-Commission)</f>
        <v>-6834.1848000000009</v>
      </c>
      <c r="T91" s="782">
        <f ca="1">_xlfn.XLOOKUP(Tab_NewTRADER[[#This Row],[ClickTick]],TabCalc[Ticker],TabCalc[Agiotage])</f>
        <v>3.4106299247859022</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2,850/2,850=&gt;-7.6% / -7.6%</v>
      </c>
      <c r="V91" s="739" t="str">
        <f ca="1">_xlfn.XLOOKUP(Tab_NewTRADER[[#This Row],[ClickTick]],[1]!RTData[Ticker_Symbol],[1]!RTData[Currency])</f>
        <v>USD</v>
      </c>
      <c r="W91" s="749">
        <f ca="1">_xlfn.XLOOKUP(Tab_NewTRADER[[#This Row],[ClickTick]],TabCalc[Ticker],TabCalc[M])</f>
        <v>65.52</v>
      </c>
      <c r="X91" s="1343"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-168/39 K$</v>
      </c>
      <c r="AE91" s="1173" t="str" cm="1">
        <f t="array" aca="1" ref="AE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91" s="1177" t="str" cm="1">
        <f t="array" aca="1" ref="AF91" ca="1">_xlfn.IFS(       Tab_NewTRADER[[#This Row],[Trap_vs_Last]]=RePurchaseGain,TEXT(Tab_NewTRADER[[#This Row],[L_Sn]],"#,#0")&amp;" x "&amp;TEXT(Tab_NewTRADER[[#This Row],[L_Sp]],"#,#0.#0"),     Tab_NewTRADER[[#This Row],[Trap_vs_Last]]=ReSaleGain,Tab_NewTRADER[[#This Row],[ToSell]],               TRUE,"")</f>
        <v/>
      </c>
      <c r="AG91" s="1177" t="str" cm="1">
        <f t="array" aca="1" ref="AG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H91" s="1370" t="str">
        <f ca="1">TEXT(MIN(Tab_NewTRADER[[#This Row],[L_Bn]],Tab_NewTRADER[[#This Row],[N]]),"#,#0")&amp;" x "&amp;TEXT(Tab_NewTRADER[[#This Row],[L_Bp]],"#,#0.#0")</f>
        <v>600 x -76.94</v>
      </c>
      <c r="AI91" s="1370">
        <f ca="1">IF(Tab_NewTRADER[[#This Row],[M]]&lt;_xlfn.XLOOKUP(Tab_NewTRADER[[#This Row],[ClickTick]],TabCalc[Ticker],TabCalc[Max_Buy_P]), 0,Tab_NewTRADER[[#This Row],[Sale_Back_$]])</f>
        <v>0</v>
      </c>
      <c r="AJ91" s="1370" t="str">
        <f ca="1">TEXT(Tab_NewTRADER[[#This Row],[L_Sn]],"#,#0")&amp;" ("&amp;Tab_NewTRADER[[#This Row],[M]]&amp;"/"&amp;TEXT(Tab_NewTRADER[[#This Row],[L_Sp]],"#,#0.#0)")</f>
        <v>2,000 (65.52/61.26)</v>
      </c>
      <c r="AK91" s="1370">
        <f ca="1">IF(Tab_NewTRADER[[#This Row],[M]]&lt;_xlfn.XLOOKUP(Tab_NewTRADER[[#This Row],[ClickTick]],TabCalc[Ticker],TabCalc[Max_Buy_P]), -Tab_NewTRADER[[#This Row],[Buy_Back]], 0)</f>
        <v>-2549.3543999999983</v>
      </c>
      <c r="AL91" s="1177" cm="1">
        <f t="array" aca="1" ref="AL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6834.1848000000009</v>
      </c>
      <c r="AM91" s="1177">
        <f ca="1">Tab_NewTRADER[[#This Row],[N]]*(Tab_NewTRADER[[#This Row],[M]]-Tab_NewTRADER[[#This Row],[A]])*(1-Commission)*Tab_NewTRADER[[#This Row],[Scale]]</f>
        <v>-6834.1848000000009</v>
      </c>
      <c r="AN91" s="1177">
        <f ca="1">Tab_NewTRADER[[#This Row],[M]]*Tab_NewTRADER[[#This Row],[N]]*(1-Commission)*Tab_NewTRADER[[#This Row],[Scale]]</f>
        <v>39209.788799999995</v>
      </c>
      <c r="AO91" s="1186" cm="1">
        <f t="array" aca="1" ref="AO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0.14842734598388357</v>
      </c>
      <c r="AP91" s="1186" cm="1">
        <f t="array" aca="1" ref="AP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0.17169792429792435</v>
      </c>
      <c r="AQ91" s="825" t="str" cm="1">
        <f t="array" aca="1" ref="AQ91" ca="1">_xlfn.IFS(   Tab_NewTRADER[[#This Row],[Trap_vs_Last]]=SellMorePercentGain,                     MIN(Tab_NewTRADER[[#This Row],[L_Sn]],Tab_NewTRADER[[#This Row],[N]])*(Tab_NewTRADER[[#This Row],[M]]-Tab_NewTRADER[[#This Row],[L_Sp]])*(1-Commission)*Tab_NewTRADER[[#This Row],[Scale]],                    TRUE,"")</f>
        <v/>
      </c>
      <c r="AR91" s="1175">
        <f ca="1">_xlfn.XLOOKUP(Tab_NewTRADER[[#This Row],[ClickTick]],TabCalc[Ticker],TabCalc[Ann%RevLB])</f>
        <v>-1.090486623555063</v>
      </c>
      <c r="AS91" s="1282">
        <f ca="1">_xlfn.XLOOKUP(Tab_NewTRADER[[#This Row],[ClickTick]],TabCalc[Ticker],TabCalc[Up20])</f>
        <v>0</v>
      </c>
      <c r="AT91" s="1187" cm="1">
        <f t="array" aca="1" ref="AT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0.17429792429792434</v>
      </c>
      <c r="AU91" s="825" cm="1">
        <f t="array" aca="1" ref="AU91" ca="1">_xlfn.IFS(         Tab_NewTRADER[[#This Row],[Trap_vs_Last]]=MDown,Tab_NewTRADER[[#This Row],[L_Bn]]*Tab_NewTRADER[[#This Row],[M]]*(-(Tab_NewTRADER[[#This Row],[L_Bp]]+Tab_NewTRADER[[#This Row],[M]])/Tab_NewTRADER[[#This Row],[M]])*(1-Commission)*Tab_NewTRADER[[#This Row],[Scale]],                               TRUE,"")</f>
        <v>6834.1848000000018</v>
      </c>
      <c r="AV91" s="1186" cm="1">
        <f t="array" aca="1" ref="AV91" ca="1">_xlfn.IFS(   Tab_NewTRADER[[#This Row],[Trap_vs_Last]]=MUp,Tab_NewTRADER[[#This Row],[TakeGain_A]]-Commission,        Tab_NewTRADER[[#This Row],[Trap_vs_Last]]=MDown,(Tab_NewTRADER[[#This Row],[A]]-Tab_NewTRADER[[#This Row],[M]])/Tab_NewTRADER[[#This Row],[M]]-Commission,                              TRUE,"")</f>
        <v>0.17169792429792435</v>
      </c>
      <c r="AW91" s="760" cm="1">
        <f t="array" aca="1" ref="AW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6834.1848000000009</v>
      </c>
      <c r="AX91" s="760" t="str" cm="1">
        <f t="array" aca="1" ref="AX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Y91" s="736" cm="1">
        <f t="array" aca="1" ref="AY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-11.42</v>
      </c>
      <c r="AZ91" s="765" cm="1">
        <f t="array" aca="1" ref="AZ91" ca="1">_xlfn.IFS(Tab_NewTRADER[[#This Row],[Trap_vs_Last]]=ReSaleGain,"",         Tab_NewTRADER[[#This Row],[Trap_vs_Last]]=MDown, (Tab_NewTRADER[[#This Row],[M]]-Tab_NewTRADER[[#This Row],[A]])/Tab_NewTRADER[[#This Row],[A]]*ComFactor,             TRUE, IFERROR((Tab_NewTRADER[[#This Row],[M]]-Tab_NewTRADER[[#This Row],[A]])/Tab_NewTRADER[[#This Row],[A]]*ComFactor,""))</f>
        <v>-0.14804143488432547</v>
      </c>
      <c r="BA91" s="762" cm="1">
        <f t="array" aca="1" ref="BA91" ca="1">_xlfn.IFS(               Tab_NewTRADER[[#This Row],[Trap_vs_Last]]=NoStock,(Tab_NewTRADER[[#This Row],[L_Sp]]-Tab_NewTRADER[[#This Row],[M]])/Tab_NewTRADER[[#This Row],[M]]-Commission,             Tab_NewTRADER[[#This Row],[A]]&lt;&gt;0,(Tab_NewTRADER[[#This Row],[A]]-Tab_NewTRADER[[#This Row],[M]])/Tab_NewTRADER[[#This Row],[M]]-Commission)</f>
        <v>0.17169792429792435</v>
      </c>
      <c r="BB91" s="324">
        <f ca="1">_xlfn.XLOOKUP(Tab_NewTRADER[[#This Row],[ClickTick]],TabCalc[Ticker],TabCalc[L_Sn])</f>
        <v>2000</v>
      </c>
      <c r="BC91" s="728">
        <f ca="1">_xlfn.XLOOKUP(Tab_NewTRADER[[#This Row],[ClickTick]],TabCalc[Ticker],TabCalc[L_Sp])</f>
        <v>61.26</v>
      </c>
      <c r="BD91" s="764">
        <f ca="1">-IFERROR((Tab_NewTRADER[[#This Row],[M]]-Tab_NewTRADER[[#This Row],[L_Sp]])/Tab_NewTRADER[[#This Row],[L_Sp]],0)</f>
        <v>-6.9539666993143942E-2</v>
      </c>
      <c r="BE91" s="729">
        <f ca="1">MIN(Tab_NewTRADER[[#This Row],[L_Sn]],Tab_NewTRADER[[#This Row],[N]])*(Tab_NewTRADER[[#This Row],[M]]-Tab_NewTRADER[[#This Row],[L_Sp]])*(1-Commission)*Tab_NewTRADER[[#This Row],[Scale]]</f>
        <v>2549.3543999999983</v>
      </c>
      <c r="BF91" s="692">
        <f ca="1">Tab_NewTRADER[[#This Row],[L_Sn]]*(Tab_NewTRADER[[#This Row],[Agiotage]]-Tab_NewTRADER[[#This Row],[M]])/(Tab_NewTRADER[[#This Row],[L_Bn]]*Tab_NewTRADER[[#This Row],[M]])</f>
        <v>-3.1598173623938792</v>
      </c>
      <c r="BG91" s="635">
        <f ca="1">IFERROR((Tab_NewTRADER[[#This Row],[M]]-Tab_NewTRADER[[#This Row],[A]])/Tab_NewTRADER[[#This Row],[A]],0)</f>
        <v>-0.14842734598388357</v>
      </c>
      <c r="BH91" s="638" t="str">
        <f ca="1">TEXT(_xlfn.XLOOKUP(Tab_NewTRADER[[#This Row],[ClickTick]],TabCalc[Ticker],TabCalc[NAfter]),"#,#0")&amp;" : "&amp;TEXT(_xlfn.XLOOKUP(Tab_NewTRADER[[#This Row],[ClickTick]],TabCalc[Ticker],TabCalc[NAfter])*(Tab_NewTRADER[[#This Row],[M]]-Tab_NewTRADER[[#This Row],[A]])*(1-Commission)*Tab_NewTRADER[[#This Row],[Scale]],"#,#0$")</f>
        <v>600 : -6,834$</v>
      </c>
      <c r="BI91" s="684">
        <f ca="1">_xlfn.XLOOKUP(Tab_NewTRADER[[#This Row],[ClickTick]],TabCalc[[#This Row],[Ticker]],TabCalc[[#This Row],[GL]])*(1-Commission)</f>
        <v>-167897.22926000002</v>
      </c>
      <c r="BJ91" s="684"/>
      <c r="BK91" s="669" t="str">
        <f ca="1">Tab_NewTRADER[[#This Row],[ClickTick]]&amp;": "&amp;_xlfn.XLOOKUP(Tab_NewTRADER[[#This Row],[ClickTick]],TabCalc[Ticker],TabCalc[Pile?])</f>
        <v>XYZ: Pile</v>
      </c>
      <c r="BL91" s="351" t="s">
        <v>2032</v>
      </c>
      <c r="BM91" s="755" t="str" cm="1">
        <f t="array" aca="1" ref="BM91" ca="1">_xlfn.TEXTJOIN("",,INDEX({"M","A","Y"}, _xlfn.SORTBY({1,2,3}, -CHOOSE({1,2,3}, Tab_NewTRADER[[#This Row],[M]], Tab_NewTRADER[[#This Row],[A]], Tab_NewTRADER[[#This Row],[Agiotage]]))))</f>
        <v>AMY</v>
      </c>
      <c r="BN91" s="909" cm="1">
        <f t="array" aca="1" ref="BN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0.17429792429792434</v>
      </c>
      <c r="BO91" s="679" t="e">
        <f ca="1">Tab_NewTRADER[[#This Row],[L_Sn]]*Tab_NewTRADER[[#This Row],[L_Sp]]+Tab_NewTRADER[[#This Row],[SellMore]]*Tab_NewTRADER[[#This Row],[M]]</f>
        <v>#N/A</v>
      </c>
      <c r="BP91" s="679" t="e">
        <f ca="1">INDEX(
  INDEX(TabConsolid[], , _xlfn.XMATCH(Tab_NewTRADER[[#This Row],[ClickTick]]&amp;1, TabConsolid[#Headers])),
  MATCH(
    -Tab_NewTRADER[[#This Row],[M]],
    INDEX(TabConsolid[], , _xlfn.XMATCH(Tab_NewTRADER[[#This Row],[ClickTick]]&amp;2, TabConsolid[#Headers])),
    -1
  )
)</f>
        <v>#N/A</v>
      </c>
      <c r="BQ91" s="679" cm="1">
        <f t="array" aca="1" ref="BQ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1" s="1156" t="e">
        <f ca="1">Tab_NewTRADER[[#This Row],[ReBuy]]/(Tab_NewTRADER[[#This Row],[L_Sn]]+Tab_NewTRADER[[#This Row],[SellMore]])</f>
        <v>#N/A</v>
      </c>
      <c r="BS91" s="687">
        <f ca="1">((_xlfn.XLOOKUP(Tab_NewTRADER[[#This Row],[ClickTick]],TabCalc[Ticker],TabCalc[NAfter])+Tab_NewTRADER[[#This Row],[L_Sn]])*(Tab_NewTRADER[[#This Row],[Agiotage]]-Tab_NewTRADER[[#This Row],[M]]))/(Tab_NewTRADER[[#This Row],[L_Sn]]*_xlfn.XLOOKUP(Tab_NewTRADER[[#This Row],[ClickTick]],TabCalc[Ticker],TabCalc[NAfter]))</f>
        <v>-0.13457030182963053</v>
      </c>
      <c r="BT91" s="687">
        <f ca="1">(Tab_NewTRADER[[#This Row],[M]]-Tab_NewTRADER[[#This Row],[Agiotage]])/(Tab_NewTRADER[[#This Row],[M]]-Tab_NewTRADER[[#This Row],[A]])-1</f>
        <v>-6.4386488682324066</v>
      </c>
      <c r="BU91" s="1277">
        <f ca="1">_xlfn.XMATCH(Tab_NewTRADER[[#This Row],[ClickTick]]&amp;1, TabConsolid[#Headers])</f>
        <v>269</v>
      </c>
      <c r="BV91" t="str">
        <f ca="1">IF(ABS(Tab_NewTRADER[[#This Row],[L_Bp]])&gt;=Tab_NewTRADER[[#This Row],[M]],"OK")</f>
        <v>OK</v>
      </c>
    </row>
    <row r="92" spans="1:74"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+1,082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6" t="str">
        <f ca="1">TRUNC(TabCalc[[#This Row],[L_B1p]],2)&amp;"x"&amp;TabCalc[[#This Row],[L_B1n]]&amp;"=   "&amp;TEXT(TabCalc[[#This Row],[ReverseS1]],"#,#0")&amp;"$"</f>
        <v>-152.18x1000=   52,665$</v>
      </c>
      <c r="G92" s="225" t="str">
        <f ca="1">IFERROR(TRUNC(_xlfn.XLOOKUP(Tab_NewTRADER[[#This Row],[ClickTick]],TabCalc[Ticker],ListLastSalep),2)&amp;"x"&amp;_xlfn.XLOOKUP(Tab_NewTRADER[[#This Row],[ClickTick]],TabCalc[Ticker],ListLastSalen)&amp;"=   "&amp;TEXT(-_xlfn.XLOOKUP(Tab_NewTRADER[[#This Row],[ClickTick]],TabCalc[Ticker],ListReverseB),"#,#0")&amp;"$","")</f>
        <v>204.54x1000=   305$</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0</v>
      </c>
      <c r="I92" s="226" t="str">
        <f ca="1">IFERROR(TRUNC(TabCalc[[#This Row],[L_S1p]],2)&amp;"x"&amp;TabCalc[[#This Row],[L_S1n]]&amp;"=   "&amp;TEXT(TabCalc[[#This Row],[ReverseB1]],"#,#0"),"")</f>
        <v>194.28x250=   -2,641</v>
      </c>
      <c r="J92" s="295">
        <f ca="1">_xlfn.XLOOKUP(Tab_NewTRADER[[#This Row],[ClickTick]],TabCalc[Ticker],ListGravity)</f>
        <v>1.1209404671825038</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0.3401580045479054</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1.7913933611607979E-2</v>
      </c>
      <c r="S92" s="683">
        <f ca="1">_xlfn.XLOOKUP(Tab_NewTRADER[[#This Row],[ClickTick]],TabCalc[Ticker],TabCalc[Rev(MinStock)])*(1-Commission)</f>
        <v>1078.6880999999967</v>
      </c>
      <c r="T92" s="782">
        <f ca="1">_xlfn.XLOOKUP(Tab_NewTRADER[[#This Row],[ClickTick]],TabCalc[Ticker],TabCalc[Agiotage])</f>
        <v>0.3401580045479054</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503/503=&gt;0.3% / 0.3%</v>
      </c>
      <c r="V92" s="739" t="str">
        <f ca="1">_xlfn.XLOOKUP(Tab_NewTRADER[[#This Row],[ClickTick]],[1]!RTData[Ticker_Symbol],[1]!RTData[Currency])</f>
        <v>USD</v>
      </c>
      <c r="W92" s="749">
        <f ca="1">_xlfn.XLOOKUP(Tab_NewTRADER[[#This Row],[ClickTick]],TabCalc[Ticker],TabCalc[M])</f>
        <v>204.845</v>
      </c>
      <c r="X92" s="1343"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^300 / 307 K$</v>
      </c>
      <c r="AE92" s="1173" t="str" cm="1">
        <f t="array" aca="1" ref="AE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2" s="1177" t="str" cm="1">
        <f t="array" aca="1" ref="AF92" ca="1">_xlfn.IFS(       Tab_NewTRADER[[#This Row],[Trap_vs_Last]]=RePurchaseGain,TEXT(Tab_NewTRADER[[#This Row],[L_Sn]],"#,#0")&amp;" x "&amp;TEXT(Tab_NewTRADER[[#This Row],[L_Sp]],"#,#0.#0"),     Tab_NewTRADER[[#This Row],[Trap_vs_Last]]=ReSaleGain,Tab_NewTRADER[[#This Row],[ToSell]],               TRUE,"")</f>
        <v>300 x -201.24</v>
      </c>
      <c r="AG92" s="1177" cm="1">
        <f t="array" aca="1" ref="AG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1078.6880999999967</v>
      </c>
      <c r="AH92" s="1370" t="str">
        <f ca="1">TEXT(MIN(Tab_NewTRADER[[#This Row],[L_Bn]],Tab_NewTRADER[[#This Row],[N]]),"#,#0")&amp;" x "&amp;TEXT(Tab_NewTRADER[[#This Row],[L_Bp]],"#,#0.#0")</f>
        <v>300 x -201.24</v>
      </c>
      <c r="AI92" s="1370">
        <f ca="1">IF(Tab_NewTRADER[[#This Row],[M]]&lt;_xlfn.XLOOKUP(Tab_NewTRADER[[#This Row],[ClickTick]],TabCalc[Ticker],TabCalc[Max_Buy_P]), 0,Tab_NewTRADER[[#This Row],[Sale_Back_$]])</f>
        <v>1078.6880999999967</v>
      </c>
      <c r="AJ92" s="1370" t="str">
        <f ca="1">TEXT(Tab_NewTRADER[[#This Row],[L_Sn]],"#,#0")&amp;" ("&amp;Tab_NewTRADER[[#This Row],[M]]&amp;"/"&amp;TEXT(Tab_NewTRADER[[#This Row],[L_Sp]],"#,#0.#0)")</f>
        <v>1,000 (204.845/204.54)</v>
      </c>
      <c r="AK92" s="1370">
        <f ca="1">IF(Tab_NewTRADER[[#This Row],[M]]&lt;_xlfn.XLOOKUP(Tab_NewTRADER[[#This Row],[ClickTick]],TabCalc[Ticker],TabCalc[Max_Buy_P]), -Tab_NewTRADER[[#This Row],[Buy_Back]], 0)</f>
        <v>0</v>
      </c>
      <c r="AL92" s="1177" t="str" cm="1">
        <f t="array" aca="1" ref="AL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2" s="1177">
        <f ca="1">Tab_NewTRADER[[#This Row],[N]]*(Tab_NewTRADER[[#This Row],[M]]-Tab_NewTRADER[[#This Row],[A]])*(1-Commission)*Tab_NewTRADER[[#This Row],[Scale]]</f>
        <v>66372.596400999988</v>
      </c>
      <c r="AN92" s="1177">
        <f ca="1">Tab_NewTRADER[[#This Row],[M]]*Tab_NewTRADER[[#This Row],[N]]*(1-Commission)*Tab_NewTRADER[[#This Row],[Scale]]</f>
        <v>306468.60449999996</v>
      </c>
      <c r="AO92" s="1186" cm="1">
        <f t="array" aca="1" ref="AO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1.7913933611607979E-2</v>
      </c>
      <c r="AP92" s="1186" t="str" cm="1">
        <f t="array" aca="1" ref="AP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2" s="825" t="str" cm="1">
        <f t="array" aca="1" ref="AQ92" ca="1">_xlfn.IFS(   Tab_NewTRADER[[#This Row],[Trap_vs_Last]]=SellMorePercentGain,                     MIN(Tab_NewTRADER[[#This Row],[L_Sn]],Tab_NewTRADER[[#This Row],[N]])*(Tab_NewTRADER[[#This Row],[M]]-Tab_NewTRADER[[#This Row],[L_Sp]])*(1-Commission)*Tab_NewTRADER[[#This Row],[Scale]],                    TRUE,"")</f>
        <v/>
      </c>
      <c r="AR92" s="1175">
        <f ca="1">_xlfn.XLOOKUP(Tab_NewTRADER[[#This Row],[ClickTick]],TabCalc[Ticker],TabCalc[Ann%RevLB])</f>
        <v>0.21496720333929575</v>
      </c>
      <c r="AS92" s="1175">
        <f ca="1">_xlfn.XLOOKUP(Tab_NewTRADER[[#This Row],[ClickTick]],TabCalc[Ticker],TabCalc[Up20])</f>
        <v>0</v>
      </c>
      <c r="AT92" s="1187" t="str" cm="1">
        <f t="array" aca="1" ref="AT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2" s="825" t="str" cm="1">
        <f t="array" aca="1" ref="AU92" ca="1">_xlfn.IFS(         Tab_NewTRADER[[#This Row],[Trap_vs_Last]]=MDown,Tab_NewTRADER[[#This Row],[L_Bn]]*Tab_NewTRADER[[#This Row],[M]]*(-(Tab_NewTRADER[[#This Row],[L_Bp]]+Tab_NewTRADER[[#This Row],[M]])/Tab_NewTRADER[[#This Row],[M]])*(1-Commission)*Tab_NewTRADER[[#This Row],[Scale]],                               TRUE,"")</f>
        <v/>
      </c>
      <c r="AV92" s="1186" t="str" cm="1">
        <f t="array" aca="1" ref="AV92" ca="1">_xlfn.IFS(   Tab_NewTRADER[[#This Row],[Trap_vs_Last]]=MUp,Tab_NewTRADER[[#This Row],[TakeGain_A]]-Commission,        Tab_NewTRADER[[#This Row],[Trap_vs_Last]]=MDown,(Tab_NewTRADER[[#This Row],[A]]-Tab_NewTRADER[[#This Row],[M]])/Tab_NewTRADER[[#This Row],[M]]-Commission,                              TRUE,"")</f>
        <v/>
      </c>
      <c r="AW92" s="760" cm="1">
        <f t="array" aca="1" ref="AW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84720.762986066955</v>
      </c>
      <c r="AX92" s="760" t="str" cm="1">
        <f t="array" aca="1" ref="AX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92" s="736" t="str" cm="1">
        <f t="array" aca="1" ref="AY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2" s="765" t="str" cm="1">
        <f t="array" aca="1" ref="AZ92" ca="1">_xlfn.IFS(Tab_NewTRADER[[#This Row],[Trap_vs_Last]]=ReSaleGain,"",         Tab_NewTRADER[[#This Row],[Trap_vs_Last]]=MDown, (Tab_NewTRADER[[#This Row],[M]]-Tab_NewTRADER[[#This Row],[A]])/Tab_NewTRADER[[#This Row],[A]]*ComFactor,             TRUE, IFERROR((Tab_NewTRADER[[#This Row],[M]]-Tab_NewTRADER[[#This Row],[A]])/Tab_NewTRADER[[#This Row],[A]]*ComFactor,""))</f>
        <v/>
      </c>
      <c r="BA92" s="762" cm="1">
        <f t="array" aca="1" ref="BA92" ca="1">_xlfn.IFS(               Tab_NewTRADER[[#This Row],[Trap_vs_Last]]=NoStock,(Tab_NewTRADER[[#This Row],[L_Sp]]-Tab_NewTRADER[[#This Row],[M]])/Tab_NewTRADER[[#This Row],[M]]-Commission,             Tab_NewTRADER[[#This Row],[A]]&lt;&gt;0,(Tab_NewTRADER[[#This Row],[A]]-Tab_NewTRADER[[#This Row],[M]])/Tab_NewTRADER[[#This Row],[M]]-Commission)</f>
        <v>-0.21917225381792735</v>
      </c>
      <c r="BB92" s="324">
        <f ca="1">_xlfn.XLOOKUP(Tab_NewTRADER[[#This Row],[ClickTick]],TabCalc[Ticker],TabCalc[L_Sn])</f>
        <v>1000</v>
      </c>
      <c r="BC92" s="728">
        <f ca="1">_xlfn.XLOOKUP(Tab_NewTRADER[[#This Row],[ClickTick]],TabCalc[Ticker],TabCalc[L_Sp])</f>
        <v>204.54</v>
      </c>
      <c r="BD92" s="764">
        <f ca="1">-IFERROR((Tab_NewTRADER[[#This Row],[M]]-Tab_NewTRADER[[#This Row],[L_Sp]])/Tab_NewTRADER[[#This Row],[L_Sp]],0)</f>
        <v>-1.4911508751344815E-3</v>
      </c>
      <c r="BE92" s="729">
        <f ca="1">MIN(Tab_NewTRADER[[#This Row],[L_Sn]],Tab_NewTRADER[[#This Row],[N]])*(Tab_NewTRADER[[#This Row],[M]]-Tab_NewTRADER[[#This Row],[L_Sp]])*(1-Commission)*Tab_NewTRADER[[#This Row],[Scale]]</f>
        <v>304.20700000000681</v>
      </c>
      <c r="BF92" s="692">
        <f ca="1">Tab_NewTRADER[[#This Row],[L_Sn]]*(Tab_NewTRADER[[#This Row],[Agiotage]]-Tab_NewTRADER[[#This Row],[M]])/(Tab_NewTRADER[[#This Row],[L_Bn]]*Tab_NewTRADER[[#This Row],[M]])</f>
        <v>-3.3277981237106444</v>
      </c>
      <c r="BG92" s="635">
        <f ca="1">IFERROR((Tab_NewTRADER[[#This Row],[M]]-Tab_NewTRADER[[#This Row],[A]])/Tab_NewTRADER[[#This Row],[A]],0)</f>
        <v>0.27644189891583809</v>
      </c>
      <c r="BH92" s="638" t="str">
        <f ca="1">TEXT(_xlfn.XLOOKUP(Tab_NewTRADER[[#This Row],[ClickTick]],TabCalc[Ticker],TabCalc[NAfter]),"#,#0")&amp;" : "&amp;TEXT(_xlfn.XLOOKUP(Tab_NewTRADER[[#This Row],[ClickTick]],TabCalc[Ticker],TabCalc[NAfter])*(Tab_NewTRADER[[#This Row],[M]]-Tab_NewTRADER[[#This Row],[A]])*(1-Commission)*Tab_NewTRADER[[#This Row],[Scale]],"#,#0$")</f>
        <v>1,500 : 66,373$</v>
      </c>
      <c r="BI92" s="684">
        <f ca="1">_xlfn.XLOOKUP(Tab_NewTRADER[[#This Row],[ClickTick]],TabCalc[[#This Row],[Ticker]],TabCalc[[#This Row],[GL]])*(1-Commission)</f>
        <v>299652.2212952</v>
      </c>
      <c r="BJ92" s="684"/>
      <c r="BK92" s="669" t="str">
        <f ca="1">Tab_NewTRADER[[#This Row],[ClickTick]]&amp;": "&amp;_xlfn.XLOOKUP(Tab_NewTRADER[[#This Row],[ClickTick]],TabCalc[Ticker],TabCalc[Pile?])</f>
        <v>THC: Pile</v>
      </c>
      <c r="BL92" s="351" t="s">
        <v>2033</v>
      </c>
      <c r="BM92" s="755" t="str" cm="1">
        <f t="array" aca="1" ref="BM92" ca="1">_xlfn.TEXTJOIN("",,INDEX({"M","A","Y"}, _xlfn.SORTBY({1,2,3}, -CHOOSE({1,2,3}, Tab_NewTRADER[[#This Row],[M]], Tab_NewTRADER[[#This Row],[A]], Tab_NewTRADER[[#This Row],[Agiotage]]))))</f>
        <v>MAY</v>
      </c>
      <c r="BN92" s="909" t="str" cm="1">
        <f t="array" aca="1" ref="BN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2" s="679">
        <f ca="1">Tab_NewTRADER[[#This Row],[L_Sn]]*Tab_NewTRADER[[#This Row],[L_Sp]]+Tab_NewTRADER[[#This Row],[SellMore]]*Tab_NewTRADER[[#This Row],[M]]</f>
        <v>265993.5</v>
      </c>
      <c r="BP92" s="679">
        <f ca="1">INDEX(
  INDEX(TabConsolid[], , _xlfn.XMATCH(Tab_NewTRADER[[#This Row],[ClickTick]]&amp;1, TabConsolid[#Headers])),
  MATCH(
    -Tab_NewTRADER[[#This Row],[M]],
    INDEX(TabConsolid[], , _xlfn.XMATCH(Tab_NewTRADER[[#This Row],[ClickTick]]&amp;2, TabConsolid[#Headers])),
    -1
  )
)</f>
        <v>300</v>
      </c>
      <c r="BQ92" s="679" cm="1">
        <f t="array" aca="1" ref="BQ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R92" s="1156">
        <f ca="1">Tab_NewTRADER[[#This Row],[ReBuy]]/(Tab_NewTRADER[[#This Row],[L_Sn]]+Tab_NewTRADER[[#This Row],[SellMore]])</f>
        <v>204.61038461538462</v>
      </c>
      <c r="BS92" s="687">
        <f ca="1">((_xlfn.XLOOKUP(Tab_NewTRADER[[#This Row],[ClickTick]],TabCalc[Ticker],TabCalc[NAfter])+Tab_NewTRADER[[#This Row],[L_Sn]])*(Tab_NewTRADER[[#This Row],[Agiotage]]-Tab_NewTRADER[[#This Row],[M]]))/(Tab_NewTRADER[[#This Row],[L_Sn]]*_xlfn.XLOOKUP(Tab_NewTRADER[[#This Row],[ClickTick]],TabCalc[Ticker],TabCalc[NAfter]))</f>
        <v>-0.34084140332575347</v>
      </c>
      <c r="BT92" s="687">
        <f ca="1">(Tab_NewTRADER[[#This Row],[M]]-Tab_NewTRADER[[#This Row],[Agiotage]])/(Tab_NewTRADER[[#This Row],[M]]-Tab_NewTRADER[[#This Row],[A]])-1</f>
        <v>3.6097291758920278</v>
      </c>
      <c r="BU92" s="1277">
        <f ca="1">_xlfn.XMATCH(Tab_NewTRADER[[#This Row],[ClickTick]]&amp;1, TabConsolid[#Headers])</f>
        <v>272</v>
      </c>
      <c r="BV92" t="b">
        <f ca="1">IF(ABS(Tab_NewTRADER[[#This Row],[L_Bp]])&gt;=Tab_NewTRADER[[#This Row],[M]],"OK")</f>
        <v>0</v>
      </c>
    </row>
    <row r="93" spans="1:74"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43"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E93" s="1195" t="str" cm="1">
        <f t="array" aca="1" ref="AE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3" s="1177" t="str" cm="1">
        <f t="array" aca="1" ref="AF93" ca="1">_xlfn.IFS(       Tab_NewTRADER[[#This Row],[Trap_vs_Last]]=RePurchaseGain,TEXT(Tab_NewTRADER[[#This Row],[L_Sn]],"#,#0")&amp;" x "&amp;TEXT(Tab_NewTRADER[[#This Row],[L_Sp]],"#,#0.#0"),     Tab_NewTRADER[[#This Row],[Trap_vs_Last]]=ReSaleGain,Tab_NewTRADER[[#This Row],[ToSell]],               TRUE,"")</f>
        <v/>
      </c>
      <c r="AG93" s="1177" t="str" cm="1">
        <f t="array" aca="1" ref="AG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H93" s="1370" t="str">
        <f ca="1">TEXT(MIN(Tab_NewTRADER[[#This Row],[L_Bn]],Tab_NewTRADER[[#This Row],[N]]),"#,#0")&amp;" x "&amp;TEXT(Tab_NewTRADER[[#This Row],[L_Bp]],"#,#0.#0")</f>
        <v>10 x -30.96</v>
      </c>
      <c r="AI93" s="1370">
        <f ca="1">IF(Tab_NewTRADER[[#This Row],[M]]&lt;_xlfn.XLOOKUP(Tab_NewTRADER[[#This Row],[ClickTick]],TabCalc[Ticker],TabCalc[Max_Buy_P]), 0,Tab_NewTRADER[[#This Row],[Sale_Back_$]])</f>
        <v>238.20698735600004</v>
      </c>
      <c r="AJ93" s="1370" t="str">
        <f ca="1">TEXT(Tab_NewTRADER[[#This Row],[L_Sn]],"#,#0")&amp;" ("&amp;Tab_NewTRADER[[#This Row],[M]]&amp;"/"&amp;TEXT(Tab_NewTRADER[[#This Row],[L_Sp]],"#,#0.#0)")</f>
        <v>1,590 (54.84/36.08)</v>
      </c>
      <c r="AK93" s="1370">
        <f ca="1">IF(Tab_NewTRADER[[#This Row],[M]]&lt;_xlfn.XLOOKUP(Tab_NewTRADER[[#This Row],[ClickTick]],TabCalc[Ticker],TabCalc[Max_Buy_P]), -Tab_NewTRADER[[#This Row],[Buy_Back]], 0)</f>
        <v>0</v>
      </c>
      <c r="AL93" s="1177" cm="1">
        <f t="array" aca="1" ref="AL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M93" s="1177">
        <f ca="1">Tab_NewTRADER[[#This Row],[N]]*(Tab_NewTRADER[[#This Row],[M]]-Tab_NewTRADER[[#This Row],[A]])*(1-Commission)*Tab_NewTRADER[[#This Row],[Scale]]</f>
        <v>238.20698735600007</v>
      </c>
      <c r="AN93" s="1177">
        <f ca="1">Tab_NewTRADER[[#This Row],[M]]*Tab_NewTRADER[[#This Row],[N]]*(1-Commission)*Tab_NewTRADER[[#This Row],[Scale]]</f>
        <v>546.9741600000001</v>
      </c>
      <c r="AO93" s="1186" cm="1">
        <f t="array" aca="1" ref="AO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P93" s="1186" cm="1">
        <f t="array" aca="1" ref="AP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Tab_NewTRADER[[#This Row],[Trap_vs_Last]]=SellMorePercentGain,                     MIN(Tab_NewTRADER[[#This Row],[L_Sn]],Tab_NewTRADER[[#This Row],[N]])*(Tab_NewTRADER[[#This Row],[M]]-Tab_NewTRADER[[#This Row],[L_Sp]])*(1-Commission)*Tab_NewTRADER[[#This Row],[Scale]],                    TRUE,"")</f>
        <v>187.11224000000004</v>
      </c>
      <c r="AR93" s="1175">
        <f ca="1">_xlfn.XLOOKUP(Tab_NewTRADER[[#This Row],[ClickTick]],TabCalc[Ticker],TabCalc[Ann%RevLB])</f>
        <v>0.9017271786728438</v>
      </c>
      <c r="AS93" s="1282">
        <f ca="1">_xlfn.XLOOKUP(Tab_NewTRADER[[#This Row],[ClickTick]],TabCalc[Ticker],TabCalc[Up20])</f>
        <v>0</v>
      </c>
      <c r="AT93" s="1187" t="str" cm="1">
        <f t="array" aca="1" ref="AT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3" s="825" t="str" cm="1">
        <f t="array" aca="1" ref="AU93" ca="1">_xlfn.IFS(         Tab_NewTRADER[[#This Row],[Trap_vs_Last]]=MDown,Tab_NewTRADER[[#This Row],[L_Bn]]*Tab_NewTRADER[[#This Row],[M]]*(-(Tab_NewTRADER[[#This Row],[L_Bp]]+Tab_NewTRADER[[#This Row],[M]])/Tab_NewTRADER[[#This Row],[M]])*(1-Commission)*Tab_NewTRADER[[#This Row],[Scale]],                               TRUE,"")</f>
        <v/>
      </c>
      <c r="AV93" s="1186" cm="1">
        <f t="array" aca="1" ref="AV93" ca="1">_xlfn.IFS(   Tab_NewTRADER[[#This Row],[Trap_vs_Last]]=MUp,Tab_NewTRADER[[#This Row],[TakeGain_A]]-Commission,        Tab_NewTRADER[[#This Row],[Trap_vs_Last]]=MDown,(Tab_NewTRADER[[#This Row],[A]]-Tab_NewTRADER[[#This Row],[M]])/Tab_NewTRADER[[#This Row],[M]]-Commission,                              TRUE,"")</f>
        <v>0.76887769730898869</v>
      </c>
      <c r="AW93" s="760" cm="1">
        <f t="array" aca="1" ref="AW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X93" s="760" t="str" cm="1">
        <f t="array" aca="1" ref="AX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93" s="736" t="str" cm="1">
        <f t="array" aca="1" ref="AY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AZ93" s="765" cm="1">
        <f t="array" aca="1" ref="AZ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A93" s="762" cm="1">
        <f t="array" aca="1" ref="BA93" ca="1">_xlfn.IFS(               Tab_NewTRADER[[#This Row],[Trap_vs_Last]]=NoStock,(Tab_NewTRADER[[#This Row],[L_Sp]]-Tab_NewTRADER[[#This Row],[M]])/Tab_NewTRADER[[#This Row],[M]]-Commission,             Tab_NewTRADER[[#This Row],[A]]&lt;&gt;0,(Tab_NewTRADER[[#This Row],[A]]-Tab_NewTRADER[[#This Row],[M]])/Tab_NewTRADER[[#This Row],[M]]-Commission)</f>
        <v>-0.43809952589350848</v>
      </c>
      <c r="BB93" s="324">
        <f ca="1">_xlfn.XLOOKUP(Tab_NewTRADER[[#This Row],[ClickTick]],TabCalc[Ticker],TabCalc[L_Sn])</f>
        <v>1590</v>
      </c>
      <c r="BC93" s="728">
        <f ca="1">_xlfn.XLOOKUP(Tab_NewTRADER[[#This Row],[ClickTick]],TabCalc[Ticker],TabCalc[L_Sp])</f>
        <v>36.08</v>
      </c>
      <c r="BD93" s="764">
        <f ca="1">-IFERROR((Tab_NewTRADER[[#This Row],[M]]-Tab_NewTRADER[[#This Row],[L_Sp]])/Tab_NewTRADER[[#This Row],[L_Sp]],0)</f>
        <v>-0.51995565410199573</v>
      </c>
      <c r="BE93" s="729">
        <f ca="1">MIN(Tab_NewTRADER[[#This Row],[L_Sn]],Tab_NewTRADER[[#This Row],[N]])*(Tab_NewTRADER[[#This Row],[M]]-Tab_NewTRADER[[#This Row],[L_Sp]])*(1-Commission)*Tab_NewTRADER[[#This Row],[Scale]]</f>
        <v>187.11224000000004</v>
      </c>
      <c r="BF93" s="692">
        <f ca="1">Tab_NewTRADER[[#This Row],[L_Sn]]*(Tab_NewTRADER[[#This Row],[Agiotage]]-Tab_NewTRADER[[#This Row],[M]])/(Tab_NewTRADER[[#This Row],[L_Bn]]*Tab_NewTRADER[[#This Row],[M]])</f>
        <v>-0.88333217234264982</v>
      </c>
      <c r="BG93" s="635">
        <f ca="1">IFERROR((Tab_NewTRADER[[#This Row],[M]]-Tab_NewTRADER[[#This Row],[A]])/Tab_NewTRADER[[#This Row],[A]],0)</f>
        <v>0.77147769730898874</v>
      </c>
      <c r="BH93" s="638" t="str">
        <f ca="1">TEXT(_xlfn.XLOOKUP(Tab_NewTRADER[[#This Row],[ClickTick]],TabCalc[Ticker],TabCalc[NAfter]),"#,#0")&amp;" : "&amp;TEXT(_xlfn.XLOOKUP(Tab_NewTRADER[[#This Row],[ClickTick]],TabCalc[Ticker],TabCalc[NAfter])*(Tab_NewTRADER[[#This Row],[M]]-Tab_NewTRADER[[#This Row],[A]])*(1-Commission)*Tab_NewTRADER[[#This Row],[Scale]],"#,#0$")</f>
        <v>10 : 238$</v>
      </c>
      <c r="BI93" s="684">
        <f ca="1">_xlfn.XLOOKUP(Tab_NewTRADER[[#This Row],[ClickTick]],TabCalc[[#This Row],[Ticker]],TabCalc[[#This Row],[GL]])*(1-Commission)</f>
        <v>60051.568116079914</v>
      </c>
      <c r="BJ93" s="684"/>
      <c r="BK93" s="669" t="str">
        <f ca="1">Tab_NewTRADER[[#This Row],[ClickTick]]&amp;": "&amp;_xlfn.XLOOKUP(Tab_NewTRADER[[#This Row],[ClickTick]],TabCalc[Ticker],TabCalc[Pile?])</f>
        <v>X: Pile</v>
      </c>
      <c r="BL93" s="351" t="s">
        <v>2034</v>
      </c>
      <c r="BM93" s="755" t="str" cm="1">
        <f t="array" aca="1" ref="BM93" ca="1">_xlfn.TEXTJOIN("",,INDEX({"M","A","Y"}, _xlfn.SORTBY({1,2,3}, -CHOOSE({1,2,3}, Tab_NewTRADER[[#This Row],[M]], Tab_NewTRADER[[#This Row],[A]], Tab_NewTRADER[[#This Row],[Agiotage]]))))</f>
        <v>MAY</v>
      </c>
      <c r="BN93" s="909" cm="1">
        <f t="array" aca="1" ref="BN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O93" s="679">
        <f ca="1">Tab_NewTRADER[[#This Row],[L_Sn]]*Tab_NewTRADER[[#This Row],[L_Sp]]+Tab_NewTRADER[[#This Row],[SellMore]]*Tab_NewTRADER[[#This Row],[M]]</f>
        <v>57915.6</v>
      </c>
      <c r="BP93" s="679">
        <f ca="1">INDEX(
  INDEX(TabConsolid[], , _xlfn.XMATCH(Tab_NewTRADER[[#This Row],[ClickTick]]&amp;1, TabConsolid[#Headers])),
  MATCH(
    -Tab_NewTRADER[[#This Row],[M]],
    INDEX(TabConsolid[], , _xlfn.XMATCH(Tab_NewTRADER[[#This Row],[ClickTick]]&amp;2, TabConsolid[#Headers])),
    -1
  )
)</f>
        <v>10</v>
      </c>
      <c r="BQ93" s="679" cm="1">
        <f t="array" aca="1" ref="BQ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R93" s="1156">
        <f ca="1">Tab_NewTRADER[[#This Row],[ReBuy]]/(Tab_NewTRADER[[#This Row],[L_Sn]]+Tab_NewTRADER[[#This Row],[SellMore]])</f>
        <v>36.197249999999997</v>
      </c>
      <c r="BS93" s="687">
        <f ca="1">((_xlfn.XLOOKUP(Tab_NewTRADER[[#This Row],[ClickTick]],TabCalc[Ticker],TabCalc[NAfter])+Tab_NewTRADER[[#This Row],[L_Sn]])*(Tab_NewTRADER[[#This Row],[Agiotage]]-Tab_NewTRADER[[#This Row],[M]]))/(Tab_NewTRADER[[#This Row],[L_Sn]]*_xlfn.XLOOKUP(Tab_NewTRADER[[#This Row],[ClickTick]],TabCalc[Ticker],TabCalc[NAfter]))</f>
        <v>-5.5184833129251309</v>
      </c>
      <c r="BT93" s="687">
        <f ca="1">(Tab_NewTRADER[[#This Row],[M]]-Tab_NewTRADER[[#This Row],[Agiotage]])/(Tab_NewTRADER[[#This Row],[M]]-Tab_NewTRADER[[#This Row],[A]])-1</f>
        <v>1.2962107332246582</v>
      </c>
      <c r="BU93" s="1277">
        <f ca="1">_xlfn.XMATCH(Tab_NewTRADER[[#This Row],[ClickTick]]&amp;1, TabConsolid[#Headers])</f>
        <v>275</v>
      </c>
      <c r="BV93" t="b">
        <f ca="1">IF(ABS(Tab_NewTRADER[[#This Row],[L_Bp]])&gt;=Tab_NewTRADER[[#This Row],[M]],"OK")</f>
        <v>0</v>
      </c>
    </row>
    <row r="94" spans="1:74"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+372,701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47.5%</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1,034/77,100=10,523</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0.90524344569288384</v>
      </c>
      <c r="S94" s="683">
        <f ca="1">_xlfn.XLOOKUP(Tab_NewTRADER[[#This Row],[ClickTick]],TabCalc[Ticker],TabCalc[Rev(MinStock)])*(1-Commission)</f>
        <v>371732.37635999994</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-4,009/-4,009=&gt;-0.3% / -0.3%</v>
      </c>
      <c r="V94" s="739" t="str">
        <f ca="1">_xlfn.XLOOKUP(Tab_NewTRADER[[#This Row],[ClickTick]],[1]!RTData[Ticker_Symbol],[1]!RTData[Currency])</f>
        <v>USD</v>
      </c>
      <c r="W94" s="749">
        <f ca="1">_xlfn.XLOOKUP(Tab_NewTRADER[[#This Row],[ClickTick]],TabCalc[Ticker],TabCalc[M])</f>
        <v>10.173999999999999</v>
      </c>
      <c r="X94" s="1343"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^373 / 784 K$</v>
      </c>
      <c r="AE94" s="1195" t="str" cm="1">
        <f t="array" aca="1" ref="AE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4" s="1177" t="str" cm="1">
        <f t="array" aca="1" ref="AF94" ca="1">_xlfn.IFS(       Tab_NewTRADER[[#This Row],[Trap_vs_Last]]=RePurchaseGain,TEXT(Tab_NewTRADER[[#This Row],[L_Sn]],"#,#0")&amp;" x "&amp;TEXT(Tab_NewTRADER[[#This Row],[L_Sp]],"#,#0.#0"),     Tab_NewTRADER[[#This Row],[Trap_vs_Last]]=ReSaleGain,Tab_NewTRADER[[#This Row],[ToSell]],               TRUE,"")</f>
        <v>77,100 x -5.34</v>
      </c>
      <c r="AG94" s="1177" cm="1">
        <f t="array" aca="1" ref="AG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371732.37635999994</v>
      </c>
      <c r="AH94" s="1370" t="str">
        <f ca="1">TEXT(MIN(Tab_NewTRADER[[#This Row],[L_Bn]],Tab_NewTRADER[[#This Row],[N]]),"#,#0")&amp;" x "&amp;TEXT(Tab_NewTRADER[[#This Row],[L_Bp]],"#,#0.#0")</f>
        <v>77,100 x -5.34</v>
      </c>
      <c r="AI94" s="1370">
        <f ca="1">IF(Tab_NewTRADER[[#This Row],[M]]&lt;_xlfn.XLOOKUP(Tab_NewTRADER[[#This Row],[ClickTick]],TabCalc[Ticker],TabCalc[Max_Buy_P]), 0,Tab_NewTRADER[[#This Row],[Sale_Back_$]])</f>
        <v>371732.37635999994</v>
      </c>
      <c r="AJ94" s="1370" t="str">
        <f ca="1">TEXT(Tab_NewTRADER[[#This Row],[L_Sn]],"#,#0")&amp;" ("&amp;Tab_NewTRADER[[#This Row],[M]]&amp;"/"&amp;TEXT(Tab_NewTRADER[[#This Row],[L_Sp]],"#,#0.#0)")</f>
        <v>0 (10.174/0.0)</v>
      </c>
      <c r="AK94" s="1370">
        <f ca="1">IF(Tab_NewTRADER[[#This Row],[M]]&lt;_xlfn.XLOOKUP(Tab_NewTRADER[[#This Row],[ClickTick]],TabCalc[Ticker],TabCalc[Max_Buy_P]), -Tab_NewTRADER[[#This Row],[Buy_Back]], 0)</f>
        <v>0</v>
      </c>
      <c r="AL94" s="1177" t="str" cm="1">
        <f t="array" aca="1" ref="AL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4" s="1177">
        <f ca="1">Tab_NewTRADER[[#This Row],[N]]*(Tab_NewTRADER[[#This Row],[M]]-Tab_NewTRADER[[#This Row],[A]])*(1-Commission)*Tab_NewTRADER[[#This Row],[Scale]]</f>
        <v>371732.37635999994</v>
      </c>
      <c r="AN94" s="1177">
        <f ca="1">Tab_NewTRADER[[#This Row],[M]]*Tab_NewTRADER[[#This Row],[N]]*(1-Commission)*Tab_NewTRADER[[#This Row],[Scale]]</f>
        <v>782375.91995999985</v>
      </c>
      <c r="AO94" s="1186" cm="1">
        <f t="array" aca="1" ref="AO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0.90524344569288384</v>
      </c>
      <c r="AP94" s="1186" t="str" cm="1">
        <f t="array" aca="1" ref="AP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Tab_NewTRADER[[#This Row],[Trap_vs_Last]]=SellMorePercentGain,                     MIN(Tab_NewTRADER[[#This Row],[L_Sn]],Tab_NewTRADER[[#This Row],[N]])*(Tab_NewTRADER[[#This Row],[M]]-Tab_NewTRADER[[#This Row],[L_Sp]])*(1-Commission)*Tab_NewTRADER[[#This Row],[Scale]],                    TRUE,"")</f>
        <v/>
      </c>
      <c r="AR94" s="1175">
        <f ca="1">_xlfn.XLOOKUP(Tab_NewTRADER[[#This Row],[ClickTick]],TabCalc[Ticker],TabCalc[Ann%RevLB])</f>
        <v>0.25823109385850884</v>
      </c>
      <c r="AS94" s="1282">
        <f ca="1">_xlfn.XLOOKUP(Tab_NewTRADER[[#This Row],[ClickTick]],TabCalc[Ticker],TabCalc[Up20])</f>
        <v>0</v>
      </c>
      <c r="AT94" s="1187" t="str" cm="1">
        <f t="array" aca="1" ref="AT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4" s="825" t="str" cm="1">
        <f t="array" aca="1" ref="AU94" ca="1">_xlfn.IFS(         Tab_NewTRADER[[#This Row],[Trap_vs_Last]]=MDown,Tab_NewTRADER[[#This Row],[L_Bn]]*Tab_NewTRADER[[#This Row],[M]]*(-(Tab_NewTRADER[[#This Row],[L_Bp]]+Tab_NewTRADER[[#This Row],[M]])/Tab_NewTRADER[[#This Row],[M]])*(1-Commission)*Tab_NewTRADER[[#This Row],[Scale]],                               TRUE,"")</f>
        <v/>
      </c>
      <c r="AV94" s="1186" t="str" cm="1">
        <f t="array" aca="1" ref="AV94" ca="1">_xlfn.IFS(   Tab_NewTRADER[[#This Row],[Trap_vs_Last]]=MUp,Tab_NewTRADER[[#This Row],[TakeGain_A]]-Commission,        Tab_NewTRADER[[#This Row],[Trap_vs_Last]]=MDown,(Tab_NewTRADER[[#This Row],[A]]-Tab_NewTRADER[[#This Row],[M]])/Tab_NewTRADER[[#This Row],[M]]-Commission,                              TRUE,"")</f>
        <v/>
      </c>
      <c r="AW94" s="825" cm="1">
        <f t="array" aca="1" ref="AW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708240.67361173022</v>
      </c>
      <c r="AX94" s="760" t="str" cm="1">
        <f t="array" aca="1" ref="AX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94" s="736" t="str" cm="1">
        <f t="array" aca="1" ref="AY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4" s="765" t="str" cm="1">
        <f t="array" aca="1" ref="AZ94" ca="1">_xlfn.IFS(Tab_NewTRADER[[#This Row],[Trap_vs_Last]]=ReSaleGain,"",         Tab_NewTRADER[[#This Row],[Trap_vs_Last]]=MDown, (Tab_NewTRADER[[#This Row],[M]]-Tab_NewTRADER[[#This Row],[A]])/Tab_NewTRADER[[#This Row],[A]]*ComFactor,             TRUE, IFERROR((Tab_NewTRADER[[#This Row],[M]]-Tab_NewTRADER[[#This Row],[A]])/Tab_NewTRADER[[#This Row],[A]]*ComFactor,""))</f>
        <v/>
      </c>
      <c r="BA94" s="762" cm="1">
        <f t="array" aca="1" ref="BA94" ca="1">_xlfn.IFS(               Tab_NewTRADER[[#This Row],[Trap_vs_Last]]=NoStock,(Tab_NewTRADER[[#This Row],[L_Sp]]-Tab_NewTRADER[[#This Row],[M]])/Tab_NewTRADER[[#This Row],[M]]-Commission,             Tab_NewTRADER[[#This Row],[A]]&lt;&gt;0,(Tab_NewTRADER[[#This Row],[A]]-Tab_NewTRADER[[#This Row],[M]])/Tab_NewTRADER[[#This Row],[M]]-Commission)</f>
        <v>-0.47773269117357969</v>
      </c>
      <c r="BB94" s="324">
        <f ca="1">_xlfn.XLOOKUP(Tab_NewTRADER[[#This Row],[ClickTick]],TabCalc[Ticker],TabCalc[L_Sn])</f>
        <v>0</v>
      </c>
      <c r="BC94" s="728">
        <f ca="1">_xlfn.XLOOKUP(Tab_NewTRADER[[#This Row],[ClickTick]],TabCalc[Ticker],TabCalc[L_Sp])</f>
        <v>0</v>
      </c>
      <c r="BD94" s="764">
        <f ca="1">-IFERROR((Tab_NewTRADER[[#This Row],[M]]-Tab_NewTRADER[[#This Row],[L_Sp]])/Tab_NewTRADER[[#This Row],[L_Sp]],0)</f>
        <v>0</v>
      </c>
      <c r="BE94" s="729">
        <f ca="1">MIN(Tab_NewTRADER[[#This Row],[L_Sn]],Tab_NewTRADER[[#This Row],[N]])*(Tab_NewTRADER[[#This Row],[M]]-Tab_NewTRADER[[#This Row],[L_Sp]])*(1-Commission)*Tab_NewTRADER[[#This Row],[Scale]]</f>
        <v>0</v>
      </c>
      <c r="BF94" s="692">
        <f ca="1">Tab_NewTRADER[[#This Row],[L_Sn]]*(Tab_NewTRADER[[#This Row],[Agiotage]]-Tab_NewTRADER[[#This Row],[M]])/(Tab_NewTRADER[[#This Row],[L_Bn]]*Tab_NewTRADER[[#This Row],[M]])</f>
        <v>0</v>
      </c>
      <c r="BG94" s="635">
        <f ca="1">IFERROR((Tab_NewTRADER[[#This Row],[M]]-Tab_NewTRADER[[#This Row],[A]])/Tab_NewTRADER[[#This Row],[A]],0)</f>
        <v>0.90524344569288384</v>
      </c>
      <c r="BH94" s="638" t="str">
        <f ca="1">TEXT(_xlfn.XLOOKUP(Tab_NewTRADER[[#This Row],[ClickTick]],TabCalc[Ticker],TabCalc[NAfter]),"#,#0")&amp;" : "&amp;TEXT(_xlfn.XLOOKUP(Tab_NewTRADER[[#This Row],[ClickTick]],TabCalc[Ticker],TabCalc[NAfter])*(Tab_NewTRADER[[#This Row],[M]]-Tab_NewTRADER[[#This Row],[A]])*(1-Commission)*Tab_NewTRADER[[#This Row],[Scale]],"#,#0$")</f>
        <v>77,100 : 371,732$</v>
      </c>
      <c r="BI94" s="684">
        <f ca="1">_xlfn.XLOOKUP(Tab_NewTRADER[[#This Row],[ClickTick]],TabCalc[[#This Row],[Ticker]],TabCalc[[#This Row],[GL]])*(1-Commission)</f>
        <v>371732.37635999988</v>
      </c>
      <c r="BJ94" s="684"/>
      <c r="BK94" s="669" t="str">
        <f ca="1">Tab_NewTRADER[[#This Row],[ClickTick]]&amp;": "&amp;_xlfn.XLOOKUP(Tab_NewTRADER[[#This Row],[ClickTick]],TabCalc[Ticker],TabCalc[Pile?])</f>
        <v xml:space="preserve">LOCK: </v>
      </c>
      <c r="BL94" s="351" t="s">
        <v>2035</v>
      </c>
      <c r="BM94" s="755" t="str" cm="1">
        <f t="array" aca="1" ref="BM94" ca="1">_xlfn.TEXTJOIN("",,INDEX({"M","A","Y"}, _xlfn.SORTBY({1,2,3}, -CHOOSE({1,2,3}, Tab_NewTRADER[[#This Row],[M]], Tab_NewTRADER[[#This Row],[A]], Tab_NewTRADER[[#This Row],[Agiotage]]))))</f>
        <v>MAY</v>
      </c>
      <c r="BN94" s="909" t="str" cm="1">
        <f t="array" aca="1" ref="BN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4" s="679">
        <f ca="1">Tab_NewTRADER[[#This Row],[L_Sn]]*Tab_NewTRADER[[#This Row],[L_Sp]]+Tab_NewTRADER[[#This Row],[SellMore]]*Tab_NewTRADER[[#This Row],[M]]</f>
        <v>784415.39999999991</v>
      </c>
      <c r="BP94" s="679">
        <f ca="1">INDEX(
  INDEX(TabConsolid[], , _xlfn.XMATCH(Tab_NewTRADER[[#This Row],[ClickTick]]&amp;1, TabConsolid[#Headers])),
  MATCH(
    -Tab_NewTRADER[[#This Row],[M]],
    INDEX(TabConsolid[], , _xlfn.XMATCH(Tab_NewTRADER[[#This Row],[ClickTick]]&amp;2, TabConsolid[#Headers])),
    -1
  )
)</f>
        <v>77100</v>
      </c>
      <c r="BQ94" s="679" cm="1">
        <f t="array" aca="1" ref="BQ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4" s="1156">
        <f ca="1">Tab_NewTRADER[[#This Row],[ReBuy]]/(Tab_NewTRADER[[#This Row],[L_Sn]]+Tab_NewTRADER[[#This Row],[SellMore]])</f>
        <v>10.173999999999999</v>
      </c>
      <c r="BS94" s="687" t="e">
        <f ca="1">((_xlfn.XLOOKUP(Tab_NewTRADER[[#This Row],[ClickTick]],TabCalc[Ticker],TabCalc[NAfter])+Tab_NewTRADER[[#This Row],[L_Sn]])*(Tab_NewTRADER[[#This Row],[Agiotage]]-Tab_NewTRADER[[#This Row],[M]]))/(Tab_NewTRADER[[#This Row],[L_Sn]]*_xlfn.XLOOKUP(Tab_NewTRADER[[#This Row],[ClickTick]],TabCalc[Ticker],TabCalc[NAfter]))</f>
        <v>#DIV/0!</v>
      </c>
      <c r="BT94" s="687">
        <f ca="1">(Tab_NewTRADER[[#This Row],[M]]-Tab_NewTRADER[[#This Row],[Agiotage]])/(Tab_NewTRADER[[#This Row],[M]]-Tab_NewTRADER[[#This Row],[A]])-1</f>
        <v>0.89780719900703354</v>
      </c>
      <c r="BU94" s="1277">
        <f ca="1">_xlfn.XMATCH(Tab_NewTRADER[[#This Row],[ClickTick]]&amp;1, TabConsolid[#Headers])</f>
        <v>278</v>
      </c>
      <c r="BV94" t="b">
        <f ca="1">IF(ABS(Tab_NewTRADER[[#This Row],[L_Bp]])&gt;=Tab_NewTRADER[[#This Row],[M]],"OK")</f>
        <v>0</v>
      </c>
    </row>
    <row r="95" spans="1:74"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+29,412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16.9%</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34/200=29,607</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12,780$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95" s="226" t="str">
        <f ca="1">IFERROR(TRUNC(TabCalc[[#This Row],[L_S1p]],2)&amp;"x"&amp;TabCalc[[#This Row],[L_S1n]]&amp;"=   "&amp;TEXT(TabCalc[[#This Row],[ReverseB1]],"#,#0"),"")</f>
        <v>0x0=   0</v>
      </c>
      <c r="J95" s="295">
        <f ca="1">_xlfn.XLOOKUP(Tab_NewTRADER[[#This Row],[ClickTick]],TabCalc[Ticker],ListGravity)</f>
        <v>1.08165280202113</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1.4227731762002704</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0.20319451736811556</v>
      </c>
      <c r="S95" s="683">
        <f ca="1">_xlfn.XLOOKUP(Tab_NewTRADER[[#This Row],[ClickTick]],TabCalc[Ticker],TabCalc[Rev(MinStock)])*(1-Commission)</f>
        <v>29335.528799999989</v>
      </c>
      <c r="T95" s="782">
        <f ca="1">_xlfn.XLOOKUP(Tab_NewTRADER[[#This Row],[ClickTick]],TabCalc[Ticker],TabCalc[Agiotage])</f>
        <v>1.4227731762002704</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-5,640/-5,640=&gt;-2.7% / -2.7%</v>
      </c>
      <c r="V95" s="739" t="str">
        <f ca="1">_xlfn.XLOOKUP(Tab_NewTRADER[[#This Row],[ClickTick]],[1]!RTData[Ticker_Symbol],[1]!RTData[Currency])</f>
        <v>EUR</v>
      </c>
      <c r="W95" s="749">
        <f ca="1">_xlfn.XLOOKUP(Tab_NewTRADER[[#This Row],[ClickTick]],TabCalc[Ticker],TabCalc[M])</f>
        <v>870.8</v>
      </c>
      <c r="X95" s="1343"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^61 / 174 K$</v>
      </c>
      <c r="AE95" s="1360" t="str" cm="1">
        <f t="array" aca="1" ref="AE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5" s="1177" t="str" cm="1">
        <f t="array" aca="1" ref="AF95" ca="1">_xlfn.IFS(       Tab_NewTRADER[[#This Row],[Trap_vs_Last]]=RePurchaseGain,TEXT(Tab_NewTRADER[[#This Row],[L_Sn]],"#,#0")&amp;" x "&amp;TEXT(Tab_NewTRADER[[#This Row],[L_Sp]],"#,#0.#0"),     Tab_NewTRADER[[#This Row],[Trap_vs_Last]]=ReSaleGain,Tab_NewTRADER[[#This Row],[ToSell]],               TRUE,"")</f>
        <v/>
      </c>
      <c r="AG95" s="1177" t="str" cm="1">
        <f t="array" aca="1" ref="AG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H95" s="1370" t="str">
        <f ca="1">TEXT(MIN(Tab_NewTRADER[[#This Row],[L_Bn]],Tab_NewTRADER[[#This Row],[N]]),"#,#0")&amp;" x "&amp;TEXT(Tab_NewTRADER[[#This Row],[L_Bp]],"#,#0.#0")</f>
        <v>200 x -723.74</v>
      </c>
      <c r="AI95" s="1370">
        <f ca="1">IF(Tab_NewTRADER[[#This Row],[M]]&lt;_xlfn.XLOOKUP(Tab_NewTRADER[[#This Row],[ClickTick]],TabCalc[Ticker],TabCalc[Max_Buy_P]), 0,Tab_NewTRADER[[#This Row],[Sale_Back_$]])</f>
        <v>29335.528799999989</v>
      </c>
      <c r="AJ95" s="1370" t="str">
        <f ca="1">TEXT(Tab_NewTRADER[[#This Row],[L_Sn]],"#,#0")&amp;" ("&amp;Tab_NewTRADER[[#This Row],[M]]&amp;"/"&amp;TEXT(Tab_NewTRADER[[#This Row],[L_Sp]],"#,#0.#0)")</f>
        <v>300 (870.8/828.20)</v>
      </c>
      <c r="AK95" s="1370">
        <f ca="1">IF(Tab_NewTRADER[[#This Row],[M]]&lt;_xlfn.XLOOKUP(Tab_NewTRADER[[#This Row],[ClickTick]],TabCalc[Ticker],TabCalc[Max_Buy_P]), -Tab_NewTRADER[[#This Row],[Buy_Back]], 0)</f>
        <v>0</v>
      </c>
      <c r="AL95" s="1177" cm="1">
        <f t="array" aca="1" ref="AL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8497.8479999999818</v>
      </c>
      <c r="AM95" s="1177">
        <f ca="1">Tab_NewTRADER[[#This Row],[N]]*(Tab_NewTRADER[[#This Row],[M]]-Tab_NewTRADER[[#This Row],[A]])*(1-Commission)*Tab_NewTRADER[[#This Row],[Scale]]</f>
        <v>29335.528799999989</v>
      </c>
      <c r="AN95" s="1177">
        <f ca="1">Tab_NewTRADER[[#This Row],[M]]*Tab_NewTRADER[[#This Row],[N]]*(1-Commission)*Tab_NewTRADER[[#This Row],[Scale]]</f>
        <v>173707.18399999998</v>
      </c>
      <c r="AO95" s="1186" cm="1">
        <f t="array" aca="1" ref="AO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0.20319451736811556</v>
      </c>
      <c r="AP95" s="1186" cm="1">
        <f t="array" aca="1" ref="AP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4.6320532843362322E-2</v>
      </c>
      <c r="AQ95" s="825" cm="1">
        <f t="array" aca="1" ref="AQ95" ca="1">_xlfn.IFS(   Tab_NewTRADER[[#This Row],[Trap_vs_Last]]=SellMorePercentGain,                     MIN(Tab_NewTRADER[[#This Row],[L_Sn]],Tab_NewTRADER[[#This Row],[N]])*(Tab_NewTRADER[[#This Row],[M]]-Tab_NewTRADER[[#This Row],[L_Sp]])*(1-Commission)*Tab_NewTRADER[[#This Row],[Scale]],                    TRUE,"")</f>
        <v>8497.8479999999818</v>
      </c>
      <c r="AR95" s="1175">
        <f ca="1">_xlfn.XLOOKUP(Tab_NewTRADER[[#This Row],[ClickTick]],TabCalc[Ticker],TabCalc[Ann%RevLB])</f>
        <v>0.24629638468862494</v>
      </c>
      <c r="AS95" s="1282">
        <f ca="1">_xlfn.XLOOKUP(Tab_NewTRADER[[#This Row],[ClickTick]],TabCalc[Ticker],TabCalc[Up20])</f>
        <v>0</v>
      </c>
      <c r="AT95" s="1187" t="str" cm="1">
        <f t="array" aca="1" ref="AT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5" s="825" t="str" cm="1">
        <f t="array" aca="1" ref="AU95" ca="1">_xlfn.IFS(         Tab_NewTRADER[[#This Row],[Trap_vs_Last]]=MDown,Tab_NewTRADER[[#This Row],[L_Bn]]*Tab_NewTRADER[[#This Row],[M]]*(-(Tab_NewTRADER[[#This Row],[L_Bp]]+Tab_NewTRADER[[#This Row],[M]])/Tab_NewTRADER[[#This Row],[M]])*(1-Commission)*Tab_NewTRADER[[#This Row],[Scale]],                               TRUE,"")</f>
        <v/>
      </c>
      <c r="AV95" s="1186" cm="1">
        <f t="array" aca="1" ref="AV95" ca="1">_xlfn.IFS(   Tab_NewTRADER[[#This Row],[Trap_vs_Last]]=MUp,Tab_NewTRADER[[#This Row],[TakeGain_A]]-Commission,        Tab_NewTRADER[[#This Row],[Trap_vs_Last]]=MDown,(Tab_NewTRADER[[#This Row],[A]]-Tab_NewTRADER[[#This Row],[M]])/Tab_NewTRADER[[#This Row],[M]]-Commission,                              TRUE,"")</f>
        <v>0.20059451736811557</v>
      </c>
      <c r="AW95" s="825" cm="1">
        <f t="array" aca="1" ref="AW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35296.347416254444</v>
      </c>
      <c r="AX95" s="760" t="str" cm="1">
        <f t="array" aca="1" ref="AX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Y95" s="737" t="str" cm="1">
        <f t="array" aca="1" ref="AY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200x147.06</v>
      </c>
      <c r="AZ95" s="765" cm="1">
        <f t="array" aca="1" ref="AZ95" ca="1">_xlfn.IFS(Tab_NewTRADER[[#This Row],[Trap_vs_Last]]=ReSaleGain,"",         Tab_NewTRADER[[#This Row],[Trap_vs_Last]]=MDown, (Tab_NewTRADER[[#This Row],[M]]-Tab_NewTRADER[[#This Row],[A]])/Tab_NewTRADER[[#This Row],[A]]*ComFactor,             TRUE, IFERROR((Tab_NewTRADER[[#This Row],[M]]-Tab_NewTRADER[[#This Row],[A]])/Tab_NewTRADER[[#This Row],[A]]*ComFactor,""))</f>
        <v>0.20266621162295845</v>
      </c>
      <c r="BA95" s="763" cm="1">
        <f t="array" aca="1" ref="BA95" ca="1">_xlfn.IFS(               Tab_NewTRADER[[#This Row],[Trap_vs_Last]]=NoStock,(Tab_NewTRADER[[#This Row],[L_Sp]]-Tab_NewTRADER[[#This Row],[M]])/Tab_NewTRADER[[#This Row],[M]]-Commission,             Tab_NewTRADER[[#This Row],[A]]&lt;&gt;0,(Tab_NewTRADER[[#This Row],[A]]-Tab_NewTRADER[[#This Row],[M]])/Tab_NewTRADER[[#This Row],[M]]-Commission)</f>
        <v>-0.17147919154800179</v>
      </c>
      <c r="BB95" s="324">
        <f ca="1">_xlfn.XLOOKUP(Tab_NewTRADER[[#This Row],[ClickTick]],TabCalc[Ticker],TabCalc[L_Sn])</f>
        <v>300</v>
      </c>
      <c r="BC95" s="728">
        <f ca="1">_xlfn.XLOOKUP(Tab_NewTRADER[[#This Row],[ClickTick]],TabCalc[Ticker],TabCalc[L_Sp])</f>
        <v>828.2</v>
      </c>
      <c r="BD95" s="764">
        <f ca="1">-IFERROR((Tab_NewTRADER[[#This Row],[M]]-Tab_NewTRADER[[#This Row],[L_Sp]])/Tab_NewTRADER[[#This Row],[L_Sp]],0)</f>
        <v>-5.1436851002173274E-2</v>
      </c>
      <c r="BE95" s="729">
        <f ca="1">MIN(Tab_NewTRADER[[#This Row],[L_Sn]],Tab_NewTRADER[[#This Row],[N]])*(Tab_NewTRADER[[#This Row],[M]]-Tab_NewTRADER[[#This Row],[L_Sp]])*(1-Commission)*Tab_NewTRADER[[#This Row],[Scale]]</f>
        <v>8497.8479999999818</v>
      </c>
      <c r="BF95" s="692">
        <f ca="1">Tab_NewTRADER[[#This Row],[L_Sn]]*(Tab_NewTRADER[[#This Row],[Agiotage]]-Tab_NewTRADER[[#This Row],[M]])/(Tab_NewTRADER[[#This Row],[L_Bn]]*Tab_NewTRADER[[#This Row],[M]])</f>
        <v>-0.59901967856485971</v>
      </c>
      <c r="BG95" s="635">
        <f ca="1">IFERROR((Tab_NewTRADER[[#This Row],[M]]-Tab_NewTRADER[[#This Row],[A]])/Tab_NewTRADER[[#This Row],[A]],0)</f>
        <v>0.20319451736811556</v>
      </c>
      <c r="BH95" s="638" t="str">
        <f ca="1">TEXT(_xlfn.XLOOKUP(Tab_NewTRADER[[#This Row],[ClickTick]],TabCalc[Ticker],TabCalc[NAfter]),"#,#0")&amp;" : "&amp;TEXT(_xlfn.XLOOKUP(Tab_NewTRADER[[#This Row],[ClickTick]],TabCalc[Ticker],TabCalc[NAfter])*(Tab_NewTRADER[[#This Row],[M]]-Tab_NewTRADER[[#This Row],[A]])*(1-Commission)*Tab_NewTRADER[[#This Row],[Scale]],"#,#0$")</f>
        <v>200 : 29,336$</v>
      </c>
      <c r="BI95" s="684">
        <f ca="1">_xlfn.XLOOKUP(Tab_NewTRADER[[#This Row],[ClickTick]],TabCalc[[#This Row],[Ticker]],TabCalc[[#This Row],[GL]])*(1-Commission)</f>
        <v>60592.049999999996</v>
      </c>
      <c r="BJ95" s="684"/>
      <c r="BK95" s="669" t="str">
        <f ca="1">Tab_NewTRADER[[#This Row],[ClickTick]]&amp;": "&amp;_xlfn.XLOOKUP(Tab_NewTRADER[[#This Row],[ClickTick]],TabCalc[Ticker],TabCalc[Pile?])</f>
        <v>JBASML: Pile</v>
      </c>
      <c r="BL95" s="352" t="s">
        <v>2036</v>
      </c>
      <c r="BM95" s="755" t="str" cm="1">
        <f t="array" aca="1" ref="BM95" ca="1">_xlfn.TEXTJOIN("",,INDEX({"M","A","Y"}, _xlfn.SORTBY({1,2,3}, -CHOOSE({1,2,3}, Tab_NewTRADER[[#This Row],[M]], Tab_NewTRADER[[#This Row],[A]], Tab_NewTRADER[[#This Row],[Agiotage]]))))</f>
        <v>MAY</v>
      </c>
      <c r="BN95" s="909" cm="1">
        <f t="array" aca="1" ref="BN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4.892053284336232E-2</v>
      </c>
      <c r="BO95" s="679">
        <f ca="1">Tab_NewTRADER[[#This Row],[L_Sn]]*Tab_NewTRADER[[#This Row],[L_Sp]]+Tab_NewTRADER[[#This Row],[SellMore]]*Tab_NewTRADER[[#This Row],[M]]</f>
        <v>422620</v>
      </c>
      <c r="BP95" s="679">
        <f ca="1">INDEX(
  INDEX(TabConsolid[], , _xlfn.XMATCH(Tab_NewTRADER[[#This Row],[ClickTick]]&amp;1, TabConsolid[#Headers])),
  MATCH(
    -Tab_NewTRADER[[#This Row],[M]],
    INDEX(TabConsolid[], , _xlfn.XMATCH(Tab_NewTRADER[[#This Row],[ClickTick]]&amp;2, TabConsolid[#Headers])),
    -1
  )
)</f>
        <v>200</v>
      </c>
      <c r="BQ95" s="679" cm="1">
        <f t="array" aca="1" ref="BQ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5" s="1156">
        <f ca="1">Tab_NewTRADER[[#This Row],[ReBuy]]/(Tab_NewTRADER[[#This Row],[L_Sn]]+Tab_NewTRADER[[#This Row],[SellMore]])</f>
        <v>845.24</v>
      </c>
      <c r="BS95" s="687">
        <f ca="1">((_xlfn.XLOOKUP(Tab_NewTRADER[[#This Row],[ClickTick]],TabCalc[Ticker],TabCalc[NAfter])+Tab_NewTRADER[[#This Row],[L_Sn]])*(Tab_NewTRADER[[#This Row],[Agiotage]]-Tab_NewTRADER[[#This Row],[M]]))/(Tab_NewTRADER[[#This Row],[L_Sn]]*_xlfn.XLOOKUP(Tab_NewTRADER[[#This Row],[ClickTick]],TabCalc[Ticker],TabCalc[NAfter]))</f>
        <v>-7.2448102235316636</v>
      </c>
      <c r="BT95" s="687">
        <f ca="1">(Tab_NewTRADER[[#This Row],[M]]-Tab_NewTRADER[[#This Row],[Agiotage]])/(Tab_NewTRADER[[#This Row],[M]]-Tab_NewTRADER[[#This Row],[A]])-1</f>
        <v>4.9117178486590509</v>
      </c>
      <c r="BU95" s="1277">
        <f ca="1">_xlfn.XMATCH(Tab_NewTRADER[[#This Row],[ClickTick]]&amp;1, TabConsolid[#Headers])</f>
        <v>281</v>
      </c>
      <c r="BV95" t="b">
        <f ca="1">IF(ABS(Tab_NewTRADER[[#This Row],[L_Bp]])&gt;=Tab_NewTRADER[[#This Row],[M]],"OK")</f>
        <v>0</v>
      </c>
    </row>
    <row r="96" spans="1:74"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+6,425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8.0%</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3,891/18,000=62,665</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333,333</v>
      </c>
      <c r="F96" s="1122" t="str">
        <f ca="1">TRUNC(TabCalc[[#This Row],[L_B1p]],2)&amp;"x"&amp;TabCalc[[#This Row],[L_B1n]]&amp;"=   "&amp;TEXT(TabCalc[[#This Row],[ReverseS1]],"#,#0")&amp;"$"</f>
        <v>-15.54x3000=   1,672$</v>
      </c>
      <c r="G96" s="225" t="str">
        <f ca="1">IFERROR(TRUNC(_xlfn.XLOOKUP(Tab_NewTRADER[[#This Row],[ClickTick]],TabCalc[Ticker],ListLastSalep),2)&amp;"x"&amp;_xlfn.XLOOKUP(Tab_NewTRADER[[#This Row],[ClickTick]],TabCalc[Ticker],ListLastSalen)&amp;"=   "&amp;TEXT(-_xlfn.XLOOKUP(Tab_NewTRADER[[#This Row],[ClickTick]],TabCalc[Ticker],ListReverseB),"#,#0")&amp;"$","")</f>
        <v>16.12x3000=   -45$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333,333</v>
      </c>
      <c r="I96" s="226" t="str">
        <f ca="1">IFERROR(TRUNC(TabCalc[[#This Row],[L_S1p]],2)&amp;"x"&amp;TabCalc[[#This Row],[L_S1n]]&amp;"=   "&amp;TEXT(TabCalc[[#This Row],[ReverseB1]],"#,#0"),"")</f>
        <v>15.96x12000=   -1,740</v>
      </c>
      <c r="J96" s="295">
        <f ca="1">_xlfn.XLOOKUP(Tab_NewTRADER[[#This Row],[ClickTick]],TabCalc[Ticker],ListGravity)</f>
        <v>1.0505799441167338</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1.3773604663339033E-3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8.6707152496626194E-2</v>
      </c>
      <c r="S96" s="683">
        <f ca="1">_xlfn.XLOOKUP(Tab_NewTRADER[[#This Row],[ClickTick]],TabCalc[Ticker],TabCalc[Rev(MinStock)])*(1-Commission)</f>
        <v>6408.295000000001</v>
      </c>
      <c r="T96" s="1357">
        <f ca="1">_xlfn.XLOOKUP(Tab_NewTRADER[[#This Row],[ClickTick]],TabCalc[Ticker],TabCalc[Agiotage])</f>
        <v>1.3773604663339033E-3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0.2%</v>
      </c>
      <c r="V96" s="1359" t="str">
        <f ca="1">_xlfn.XLOOKUP(Tab_NewTRADER[[#This Row],[ClickTick]],[1]!RTData[Ticker_Symbol],[1]!RTData[Currency])</f>
        <v>EUR</v>
      </c>
      <c r="W96" s="749">
        <f ca="1">_xlfn.XLOOKUP(Tab_NewTRADER[[#This Row],[ClickTick]],TabCalc[Ticker],TabCalc[M])</f>
        <v>16.105</v>
      </c>
      <c r="X96" s="1343"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18000</v>
      </c>
      <c r="AD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^319 / 290 K$</v>
      </c>
      <c r="AE96" s="1360" t="str" cm="1">
        <f t="array" aca="1" ref="AE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96" s="1177" t="str" cm="1">
        <f t="array" aca="1" ref="AF96" ca="1">_xlfn.IFS(       Tab_NewTRADER[[#This Row],[Trap_vs_Last]]=RePurchaseGain,TEXT(Tab_NewTRADER[[#This Row],[L_Sn]],"#,#0")&amp;" x "&amp;TEXT(Tab_NewTRADER[[#This Row],[L_Sp]],"#,#0.#0"),     Tab_NewTRADER[[#This Row],[Trap_vs_Last]]=ReSaleGain,Tab_NewTRADER[[#This Row],[ToSell]],               TRUE,"")</f>
        <v>3,000 x 16.12</v>
      </c>
      <c r="AG96" s="1177" cm="1">
        <f t="array" aca="1" ref="AG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44.883000000001701</v>
      </c>
      <c r="AH96" s="1370" t="str">
        <f ca="1">TEXT(MIN(Tab_NewTRADER[[#This Row],[L_Bn]],Tab_NewTRADER[[#This Row],[N]]),"#,#0")&amp;" x "&amp;TEXT(Tab_NewTRADER[[#This Row],[L_Bp]],"#,#0.#0")</f>
        <v>5,000 x -14.82</v>
      </c>
      <c r="AI96" s="1370">
        <f ca="1">IF(Tab_NewTRADER[[#This Row],[M]]&lt;_xlfn.XLOOKUP(Tab_NewTRADER[[#This Row],[ClickTick]],TabCalc[Ticker],TabCalc[Max_Buy_P]), 0,Tab_NewTRADER[[#This Row],[Sale_Back_$]])</f>
        <v>6408.295000000001</v>
      </c>
      <c r="AJ96" s="1370" t="str">
        <f ca="1">TEXT(Tab_NewTRADER[[#This Row],[L_Sn]],"#,#0")&amp;" ("&amp;Tab_NewTRADER[[#This Row],[M]]&amp;"/"&amp;TEXT(Tab_NewTRADER[[#This Row],[L_Sp]],"#,#0.#0)")</f>
        <v>3,000 (16.105/16.12)</v>
      </c>
      <c r="AK96" s="1370">
        <f ca="1">IF(Tab_NewTRADER[[#This Row],[M]]&lt;_xlfn.XLOOKUP(Tab_NewTRADER[[#This Row],[ClickTick]],TabCalc[Ticker],TabCalc[Max_Buy_P]), -Tab_NewTRADER[[#This Row],[Buy_Back]], 0)</f>
        <v>0</v>
      </c>
      <c r="AL96" s="1177" t="str" cm="1">
        <f t="array" aca="1" ref="AL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6" s="1177">
        <f ca="1">Tab_NewTRADER[[#This Row],[N]]*(Tab_NewTRADER[[#This Row],[M]]-Tab_NewTRADER[[#This Row],[A]])*(1-Commission)*Tab_NewTRADER[[#This Row],[Scale]]</f>
        <v>31739.722601400026</v>
      </c>
      <c r="AN96" s="1177">
        <f ca="1">Tab_NewTRADER[[#This Row],[M]]*Tab_NewTRADER[[#This Row],[N]]*(1-Commission)*Tab_NewTRADER[[#This Row],[Scale]]</f>
        <v>289136.28599999996</v>
      </c>
      <c r="AO96" s="1186" cm="1">
        <f t="array" aca="1" ref="AO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9.3052109181144963E-4</v>
      </c>
      <c r="AP96" s="1186" t="str" cm="1">
        <f t="array" aca="1" ref="AP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6" s="825" t="str" cm="1">
        <f t="array" aca="1" ref="AQ96" ca="1">_xlfn.IFS(   Tab_NewTRADER[[#This Row],[Trap_vs_Last]]=SellMorePercentGain,                     MIN(Tab_NewTRADER[[#This Row],[L_Sn]],Tab_NewTRADER[[#This Row],[N]])*(Tab_NewTRADER[[#This Row],[M]]-Tab_NewTRADER[[#This Row],[L_Sp]])*(1-Commission)*Tab_NewTRADER[[#This Row],[Scale]],                    TRUE,"")</f>
        <v/>
      </c>
      <c r="AR96" s="1175">
        <f ca="1">_xlfn.XLOOKUP(Tab_NewTRADER[[#This Row],[ClickTick]],TabCalc[Ticker],TabCalc[Ann%RevLB])</f>
        <v>0.47294810452705194</v>
      </c>
      <c r="AS96" s="1282">
        <f ca="1">_xlfn.XLOOKUP(Tab_NewTRADER[[#This Row],[ClickTick]],TabCalc[Ticker],TabCalc[Up20])</f>
        <v>0</v>
      </c>
      <c r="AT96" s="1362" t="str" cm="1">
        <f t="array" aca="1" ref="AT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6" s="825" t="str" cm="1">
        <f t="array" aca="1" ref="AU96" ca="1">_xlfn.IFS(         Tab_NewTRADER[[#This Row],[Trap_vs_Last]]=MDown,Tab_NewTRADER[[#This Row],[L_Bn]]*Tab_NewTRADER[[#This Row],[M]]*(-(Tab_NewTRADER[[#This Row],[L_Bp]]+Tab_NewTRADER[[#This Row],[M]])/Tab_NewTRADER[[#This Row],[M]])*(1-Commission)*Tab_NewTRADER[[#This Row],[Scale]],                               TRUE,"")</f>
        <v/>
      </c>
      <c r="AV96" s="1186" t="str" cm="1">
        <f t="array" aca="1" ref="AV96" ca="1">_xlfn.IFS(   Tab_NewTRADER[[#This Row],[Trap_vs_Last]]=MUp,Tab_NewTRADER[[#This Row],[TakeGain_A]]-Commission,        Tab_NewTRADER[[#This Row],[Trap_vs_Last]]=MDown,(Tab_NewTRADER[[#This Row],[A]]-Tab_NewTRADER[[#This Row],[M]])/Tab_NewTRADER[[#This Row],[M]]-Commission,                              TRUE,"")</f>
        <v/>
      </c>
      <c r="AW96" s="760" cm="1">
        <f t="array" aca="1" ref="AW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31739.722601400026</v>
      </c>
      <c r="AX96" s="760" t="str" cm="1">
        <f t="array" aca="1" ref="AX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96" s="736" t="str" cm="1">
        <f t="array" aca="1" ref="AY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96" s="1133" cm="1">
        <f t="array" aca="1" ref="AZ96" ca="1">_xlfn.IFS(Tab_NewTRADER[[#This Row],[Trap_vs_Last]]=ReSaleGain,"",         Tab_NewTRADER[[#This Row],[Trap_vs_Last]]=MDown, (Tab_NewTRADER[[#This Row],[M]]-Tab_NewTRADER[[#This Row],[A]])/Tab_NewTRADER[[#This Row],[A]]*ComFactor,             TRUE, IFERROR((Tab_NewTRADER[[#This Row],[M]]-Tab_NewTRADER[[#This Row],[A]])/Tab_NewTRADER[[#This Row],[A]]*ComFactor,""))</f>
        <v>0.12298998442186884</v>
      </c>
      <c r="BA96" s="762" cm="1">
        <f t="array" aca="1" ref="BA96" ca="1">_xlfn.IFS(               Tab_NewTRADER[[#This Row],[Trap_vs_Last]]=NoStock,(Tab_NewTRADER[[#This Row],[L_Sp]]-Tab_NewTRADER[[#This Row],[M]])/Tab_NewTRADER[[#This Row],[M]]-Commission,             Tab_NewTRADER[[#This Row],[A]]&lt;&gt;0,(Tab_NewTRADER[[#This Row],[A]]-Tab_NewTRADER[[#This Row],[M]])/Tab_NewTRADER[[#This Row],[M]]-Commission)</f>
        <v>-0.11237426265135061</v>
      </c>
      <c r="BB96" s="1364">
        <f ca="1">_xlfn.XLOOKUP(Tab_NewTRADER[[#This Row],[ClickTick]],TabCalc[Ticker],TabCalc[L_Sn])</f>
        <v>3000</v>
      </c>
      <c r="BC96" s="728">
        <f ca="1">_xlfn.XLOOKUP(Tab_NewTRADER[[#This Row],[ClickTick]],TabCalc[Ticker],TabCalc[L_Sp])</f>
        <v>16.12</v>
      </c>
      <c r="BD96" s="764">
        <f ca="1">-IFERROR((Tab_NewTRADER[[#This Row],[M]]-Tab_NewTRADER[[#This Row],[L_Sp]])/Tab_NewTRADER[[#This Row],[L_Sp]],0)</f>
        <v>9.3052109181144963E-4</v>
      </c>
      <c r="BE96" s="729">
        <f ca="1">MIN(Tab_NewTRADER[[#This Row],[L_Sn]],Tab_NewTRADER[[#This Row],[N]])*(Tab_NewTRADER[[#This Row],[M]]-Tab_NewTRADER[[#This Row],[L_Sp]])*(1-Commission)*Tab_NewTRADER[[#This Row],[Scale]]</f>
        <v>-44.883000000001701</v>
      </c>
      <c r="BF96" s="692">
        <f ca="1">Tab_NewTRADER[[#This Row],[L_Sn]]*(Tab_NewTRADER[[#This Row],[Agiotage]]-Tab_NewTRADER[[#This Row],[M]])/(Tab_NewTRADER[[#This Row],[L_Bn]]*Tab_NewTRADER[[#This Row],[M]])</f>
        <v>-0.59994868573239368</v>
      </c>
      <c r="BG96" s="635">
        <f ca="1">IFERROR((Tab_NewTRADER[[#This Row],[M]]-Tab_NewTRADER[[#This Row],[A]])/Tab_NewTRADER[[#This Row],[A]],0)</f>
        <v>0.12331059196096736</v>
      </c>
      <c r="BH96" s="638" t="str">
        <f ca="1">TEXT(_xlfn.XLOOKUP(Tab_NewTRADER[[#This Row],[ClickTick]],TabCalc[Ticker],TabCalc[NAfter]),"#,#0")&amp;" : "&amp;TEXT(_xlfn.XLOOKUP(Tab_NewTRADER[[#This Row],[ClickTick]],TabCalc[Ticker],TabCalc[NAfter])*(Tab_NewTRADER[[#This Row],[M]]-Tab_NewTRADER[[#This Row],[A]])*(1-Commission)*Tab_NewTRADER[[#This Row],[Scale]],"#,#0$")</f>
        <v>18,000 : 31,740$</v>
      </c>
      <c r="BI96" s="684">
        <f ca="1">_xlfn.XLOOKUP(Tab_NewTRADER[[#This Row],[ClickTick]],TabCalc[[#This Row],[Ticker]],TabCalc[[#This Row],[GL]])*(1-Commission)</f>
        <v>318213.50914540002</v>
      </c>
      <c r="BJ96" s="684"/>
      <c r="BK96" s="669" t="str">
        <f ca="1">Tab_NewTRADER[[#This Row],[ClickTick]]&amp;": "&amp;_xlfn.XLOOKUP(Tab_NewTRADER[[#This Row],[ClickTick]],TabCalc[Ticker],TabCalc[Pile?])</f>
        <v>JBEOAN: Pile</v>
      </c>
      <c r="BL96" s="351" t="s">
        <v>2037</v>
      </c>
      <c r="BM96" s="1366" t="str" cm="1">
        <f t="array" aca="1" ref="BM96" ca="1">_xlfn.TEXTJOIN("",,INDEX({"M","A","Y"}, _xlfn.SORTBY({1,2,3}, -CHOOSE({1,2,3}, Tab_NewTRADER[[#This Row],[M]], Tab_NewTRADER[[#This Row],[A]], Tab_NewTRADER[[#This Row],[Agiotage]]))))</f>
        <v>MAY</v>
      </c>
      <c r="BN96" s="909" t="str" cm="1">
        <f t="array" aca="1" ref="BN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6" s="679">
        <f ca="1">Tab_NewTRADER[[#This Row],[L_Sn]]*Tab_NewTRADER[[#This Row],[L_Sp]]+Tab_NewTRADER[[#This Row],[SellMore]]*Tab_NewTRADER[[#This Row],[M]]</f>
        <v>96675</v>
      </c>
      <c r="BP96" s="679">
        <f ca="1">INDEX(
  INDEX(TabConsolid[], , _xlfn.XMATCH(Tab_NewTRADER[[#This Row],[ClickTick]]&amp;1, TabConsolid[#Headers])),
  MATCH(
    -Tab_NewTRADER[[#This Row],[M]],
    INDEX(TabConsolid[], , _xlfn.XMATCH(Tab_NewTRADER[[#This Row],[ClickTick]]&amp;2, TabConsolid[#Headers])),
    -1
  )
)</f>
        <v>3000</v>
      </c>
      <c r="BQ96" s="679" cm="1">
        <f t="array" aca="1" ref="BQ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96" s="1156">
        <f ca="1">Tab_NewTRADER[[#This Row],[ReBuy]]/(Tab_NewTRADER[[#This Row],[L_Sn]]+Tab_NewTRADER[[#This Row],[SellMore]])</f>
        <v>16.112500000000001</v>
      </c>
      <c r="BS96" s="687">
        <f ca="1">((_xlfn.XLOOKUP(Tab_NewTRADER[[#This Row],[ClickTick]],TabCalc[Ticker],TabCalc[NAfter])+Tab_NewTRADER[[#This Row],[L_Sn]])*(Tab_NewTRADER[[#This Row],[Agiotage]]-Tab_NewTRADER[[#This Row],[M]]))/(Tab_NewTRADER[[#This Row],[L_Sn]]*_xlfn.XLOOKUP(Tab_NewTRADER[[#This Row],[ClickTick]],TabCalc[Ticker],TabCalc[NAfter]))</f>
        <v>-6.2625199153742029E-3</v>
      </c>
      <c r="BT96" s="687">
        <f ca="1">(Tab_NewTRADER[[#This Row],[M]]-Tab_NewTRADER[[#This Row],[Agiotage]])/(Tab_NewTRADER[[#This Row],[M]]-Tab_NewTRADER[[#This Row],[A]])-1</f>
        <v>8.1088243461624696</v>
      </c>
      <c r="BU96" s="1277">
        <f ca="1">_xlfn.XMATCH(Tab_NewTRADER[[#This Row],[ClickTick]]&amp;1, TabConsolid[#Headers])</f>
        <v>284</v>
      </c>
    </row>
    <row r="97" spans="1:73" ht="28" thickBot="1" x14ac:dyDescent="0.4">
      <c r="A97" s="224" t="s">
        <v>1086</v>
      </c>
      <c r="B97" s="1386"/>
      <c r="C97" s="1387"/>
      <c r="D97" s="671"/>
      <c r="E97" s="752"/>
      <c r="F97" s="1386"/>
      <c r="G97" s="1388"/>
      <c r="H97" s="1387"/>
      <c r="I97" s="1389"/>
      <c r="J97" s="1387"/>
      <c r="K97" s="1387"/>
      <c r="L97" s="672"/>
      <c r="M97" s="1387"/>
      <c r="N97" s="1390"/>
      <c r="O97" s="703"/>
      <c r="P97" s="857"/>
      <c r="Q97" s="855"/>
      <c r="R97" s="1391"/>
      <c r="S97" s="702">
        <f ca="1">SUBTOTAL(109,Tab_NewTRADER[Sale_Back_$])</f>
        <v>389241.23465999996</v>
      </c>
      <c r="T97" s="786"/>
      <c r="U97" s="697">
        <f ca="1">SUBTOTAL(109,Tab_NewTRADER[SncOpenYest%])</f>
        <v>0</v>
      </c>
      <c r="V97" s="740"/>
      <c r="W97" s="1069"/>
      <c r="X97" s="1344"/>
      <c r="Y97" s="804"/>
      <c r="Z97" s="866"/>
      <c r="AA97" s="1"/>
      <c r="AB97" s="1"/>
      <c r="AC97" s="767"/>
      <c r="AD97" s="844"/>
      <c r="AE97" s="1174"/>
      <c r="AF97" s="1174"/>
      <c r="AG97" s="738">
        <f ca="1">SUBTOTAL(109,Tab_NewTRADER[Sell/Buy_nL])</f>
        <v>372971.64585999993</v>
      </c>
      <c r="AH97" s="1371"/>
      <c r="AI97" s="932">
        <f ca="1">SUBTOTAL(109,Tab_NewTRADER[Sale_Real_GL])</f>
        <v>372811.06445999991</v>
      </c>
      <c r="AJ97" s="738"/>
      <c r="AK97" s="932">
        <f ca="1">SUBTOTAL(109,Tab_NewTRADER[Buy/Sell_Virt_GL])</f>
        <v>130.6593999999979</v>
      </c>
      <c r="AL97" s="761">
        <f ca="1">SUBTOTAL(109,Tab_NewTRADER[GL_nM])</f>
        <v>29.921999999994931</v>
      </c>
      <c r="AM97" s="932">
        <f ca="1">SUBTOTAL(109,Tab_NewTRADER[GL_NA])</f>
        <v>440894.11150130944</v>
      </c>
      <c r="AN97" s="932">
        <f ca="1">SUBTOTAL(109,Tab_NewTRADER[M_VALUE])</f>
        <v>1819305.3754599998</v>
      </c>
      <c r="AO97" s="761"/>
      <c r="AP97" s="929"/>
      <c r="AQ97" s="932">
        <f ca="1">SUBTOTAL(109,Tab_NewTRADER[vs.LS$])</f>
        <v>29.921999999994931</v>
      </c>
      <c r="AR97" s="1285"/>
      <c r="AS97" s="1285"/>
      <c r="AT97" s="761"/>
      <c r="AU97" s="932">
        <f ca="1">SUBTOTAL(109,Tab_NewTRADER[vs.LB$])</f>
        <v>0</v>
      </c>
      <c r="AV97" s="761"/>
      <c r="AW97" s="761"/>
      <c r="AX97" s="761"/>
      <c r="AY97" s="738"/>
      <c r="AZ97" s="819">
        <f ca="1">SUBTOTAL(109,Tab_NewTRADER[SellMore(/A)])</f>
        <v>7.1829307989331612E-2</v>
      </c>
      <c r="BA97" s="820">
        <f ca="1">SUBTOTAL(109,Tab_NewTRADER[BuyMore])</f>
        <v>-0.76009513226383985</v>
      </c>
      <c r="BB97" s="1390"/>
      <c r="BC97" s="682"/>
      <c r="BD97" s="1392"/>
      <c r="BE97" s="730">
        <f ca="1">SUBTOTAL(109,Tab_NewTRADER[Buy_Back])</f>
        <v>173.54760000000891</v>
      </c>
      <c r="BF97" s="693">
        <f ca="1">SUBTOTAL(104,Tab_NewTRADER[Rev_B@Y])</f>
        <v>0</v>
      </c>
      <c r="BG97" s="1387"/>
      <c r="BH97" s="674"/>
      <c r="BI97" s="685">
        <f ca="1">SUBTOTAL(109,Tab_NewTRADER[GL_Total])</f>
        <v>836458.56652719982</v>
      </c>
      <c r="BJ97" s="685"/>
      <c r="BK97" s="673"/>
      <c r="BL97" s="1393">
        <f>SUBTOTAL(103,Tab_NewTRADER[Status])</f>
        <v>5</v>
      </c>
      <c r="BM97" s="757"/>
      <c r="BN97" s="910"/>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M98" s="1377"/>
      <c r="AN98" s="1376"/>
      <c r="AO98" s="1376"/>
      <c r="AQ98" s="798"/>
      <c r="AR98" s="798"/>
      <c r="AS98" s="798"/>
      <c r="AT98" s="798"/>
      <c r="AU98" s="798"/>
      <c r="AV98" s="798"/>
      <c r="AW98" s="798"/>
      <c r="AX98" s="798"/>
      <c r="AY98" s="327"/>
      <c r="AZ98" s="329"/>
      <c r="BA98" s="330"/>
      <c r="BB98" s="807">
        <f ca="1">SUM(Tab_NewTRADER[SellMore(/A)])</f>
        <v>-0.27492676163589602</v>
      </c>
      <c r="BC98" s="808">
        <f ca="1">SUM(Tab_NewTRADER[BuyMore])</f>
        <v>46.150119794200613</v>
      </c>
      <c r="BD98" s="670"/>
      <c r="BE98" s="311"/>
    </row>
    <row r="99" spans="1:73"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L99" s="1379" t="s">
        <v>2736</v>
      </c>
      <c r="AM99" s="502" t="s">
        <v>2735</v>
      </c>
      <c r="AN99" s="1378">
        <f ca="1">Tab_NewTRADER[[#Totals],[GL_NA]]/Tab_NewTRADER[[#Totals],[M_VALUE]]</f>
        <v>0.24234200450808441</v>
      </c>
      <c r="AO99" s="948"/>
      <c r="AR99" s="93">
        <f ca="1">SUM(AQ3:AQ96)</f>
        <v>51353.088916999979</v>
      </c>
      <c r="AS99" s="93"/>
      <c r="AT99" s="93"/>
      <c r="AU99" s="93"/>
      <c r="AV99" s="93"/>
      <c r="AX99" s="93">
        <f ca="1">SUM(AW3:AW96)</f>
        <v>4895032.3584668441</v>
      </c>
    </row>
    <row r="100" spans="1:73"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O100" s="948"/>
    </row>
    <row r="101" spans="1:73"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c r="AK101" s="948" t="s">
        <v>2734</v>
      </c>
      <c r="AL101" s="1380">
        <f ca="1">SUM(Tab_NewTRADER[GL_nM])</f>
        <v>463528.9610771999</v>
      </c>
      <c r="AM101" s="1381">
        <f ca="1">SUM(AM3:AM96)</f>
        <v>1211704.6194041444</v>
      </c>
      <c r="AN101" s="1382">
        <f ca="1">SUM(AN3:AN96)</f>
        <v>33941901.485764995</v>
      </c>
    </row>
    <row r="102" spans="1:73"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D102" s="1270" t="s">
        <v>2685</v>
      </c>
      <c r="AL102" s="19"/>
      <c r="AM102" s="1383">
        <f ca="1">Tab_NewTRADER[[#Totals],[GL_NA]]/AM101</f>
        <v>0.36386269759218964</v>
      </c>
      <c r="AN102" s="1384">
        <f ca="1">Tab_NewTRADER[[#Totals],[M_VALUE]]/AN101</f>
        <v>5.3600573209577083E-2</v>
      </c>
      <c r="AX102" s="907"/>
      <c r="BA102" s="907"/>
      <c r="BE102" s="409" cm="1">
        <f t="array" ref="BE102">_xlfn.LAMBDA(_xlpm.x, _xlpm.x+1)(5)</f>
        <v>6</v>
      </c>
    </row>
    <row r="103" spans="1:73"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C103" s="1260"/>
      <c r="AD103" s="1269" t="str">
        <f>"See "&amp;Tab_NewTRADER[[#Headers],[Rev%]]</f>
        <v>See Rev%</v>
      </c>
    </row>
    <row r="104" spans="1:73"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C104" s="539" t="s">
        <v>2678</v>
      </c>
      <c r="AD104" s="1272">
        <f>1-AD111</f>
        <v>0.99739999999999995</v>
      </c>
    </row>
    <row r="105" spans="1:73"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C105" s="1261"/>
      <c r="AD105" s="1268" t="s">
        <v>2574</v>
      </c>
      <c r="AE105" s="1259"/>
    </row>
    <row r="106" spans="1:73"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73"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73"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73"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73"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73"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T111" t="s">
        <v>2575</v>
      </c>
      <c r="AU111" s="82">
        <f>BankCheck!Q7</f>
        <v>-28.49</v>
      </c>
    </row>
    <row r="112" spans="1:73"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T112" t="s">
        <v>2576</v>
      </c>
      <c r="AU112" s="82">
        <f>BankCheck!Q43</f>
        <v>452482.18</v>
      </c>
    </row>
    <row r="113" spans="1:47"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T113" t="s">
        <v>2577</v>
      </c>
      <c r="AU113" s="82">
        <f>BankCheck!Q60</f>
        <v>257560.8</v>
      </c>
    </row>
    <row r="114" spans="1:47"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U114" s="1190">
        <f>SUM(AU111:AU113)</f>
        <v>710014.49</v>
      </c>
    </row>
    <row r="115" spans="1:47"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U115" s="1189">
        <f ca="1">AU114/[1]ExtEntry!$B$99</f>
        <v>613986.93358699407</v>
      </c>
    </row>
    <row r="116" spans="1:47"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7" ht="23" thickBot="1" x14ac:dyDescent="0.35">
      <c r="A117" s="327"/>
      <c r="B117" s="328"/>
      <c r="C117" s="328"/>
      <c r="D117" s="328"/>
      <c r="E117" s="327"/>
      <c r="F117" s="303"/>
      <c r="G117" s="312"/>
      <c r="H117" s="312"/>
      <c r="I117" s="631"/>
      <c r="J117" s="632"/>
      <c r="K117" s="1"/>
      <c r="L117" s="1"/>
      <c r="M117" s="594"/>
      <c r="AD117" s="1"/>
    </row>
    <row r="118" spans="1:47" ht="23" thickBot="1" x14ac:dyDescent="0.35">
      <c r="A118" s="327"/>
      <c r="B118" s="328"/>
      <c r="C118" s="328"/>
      <c r="D118" s="328"/>
      <c r="E118" s="327"/>
      <c r="F118" s="303"/>
      <c r="G118" s="312"/>
      <c r="H118" s="312"/>
      <c r="I118" s="631"/>
      <c r="J118" s="632"/>
      <c r="K118" s="1"/>
      <c r="L118" s="1"/>
      <c r="M118" s="594"/>
    </row>
    <row r="119" spans="1:47" ht="23" thickBot="1" x14ac:dyDescent="0.35">
      <c r="A119" s="327"/>
      <c r="B119" s="328"/>
      <c r="C119" s="328"/>
      <c r="D119" s="328"/>
      <c r="E119" s="327"/>
      <c r="F119" s="303"/>
      <c r="G119" s="312"/>
      <c r="H119" s="312"/>
      <c r="I119" s="631"/>
      <c r="J119" s="632"/>
      <c r="K119" s="1"/>
      <c r="L119" s="1"/>
      <c r="M119" s="594"/>
    </row>
    <row r="120" spans="1:47" ht="23" thickBot="1" x14ac:dyDescent="0.35">
      <c r="A120" s="327"/>
      <c r="B120" s="328"/>
      <c r="C120" s="328"/>
      <c r="D120" s="328"/>
      <c r="E120" s="327"/>
      <c r="F120" s="303"/>
      <c r="G120" s="312"/>
      <c r="H120" s="312"/>
      <c r="I120" s="631"/>
      <c r="J120" s="632"/>
      <c r="K120" s="1"/>
      <c r="L120" s="1"/>
      <c r="M120" s="594"/>
    </row>
    <row r="121" spans="1:47" ht="23" thickBot="1" x14ac:dyDescent="0.35">
      <c r="A121" s="327"/>
      <c r="B121" s="328"/>
      <c r="C121" s="328"/>
      <c r="D121" s="328"/>
      <c r="E121" s="327"/>
      <c r="F121" s="303"/>
      <c r="G121" s="312"/>
      <c r="H121" s="312"/>
      <c r="I121" s="631"/>
      <c r="J121" s="632"/>
      <c r="K121" s="1"/>
      <c r="L121" s="1"/>
      <c r="M121" s="594"/>
    </row>
    <row r="122" spans="1:47" ht="23" thickBot="1" x14ac:dyDescent="0.35">
      <c r="A122" s="327"/>
      <c r="B122" s="328"/>
      <c r="C122" s="328"/>
      <c r="D122" s="328"/>
      <c r="E122" s="327"/>
      <c r="F122" s="303"/>
      <c r="G122" s="312"/>
      <c r="H122" s="312"/>
      <c r="I122" s="631"/>
      <c r="J122" s="632"/>
      <c r="K122" s="1"/>
      <c r="L122" s="1"/>
      <c r="M122" s="594"/>
    </row>
    <row r="123" spans="1:47" ht="23" thickBot="1" x14ac:dyDescent="0.35">
      <c r="A123" s="327"/>
      <c r="B123" s="328"/>
      <c r="C123" s="328"/>
      <c r="D123" s="328"/>
      <c r="E123" s="327"/>
      <c r="F123" s="303"/>
      <c r="G123" s="312"/>
      <c r="H123" s="312"/>
      <c r="I123" s="631"/>
      <c r="J123" s="632"/>
      <c r="K123" s="1"/>
      <c r="L123" s="1"/>
      <c r="M123" s="594"/>
    </row>
    <row r="124" spans="1:47" ht="23" thickBot="1" x14ac:dyDescent="0.35">
      <c r="A124" s="327"/>
      <c r="B124" s="328"/>
      <c r="C124" s="328"/>
      <c r="D124" s="328"/>
      <c r="E124" s="327"/>
      <c r="F124" s="303"/>
      <c r="G124" s="312"/>
      <c r="H124" s="312"/>
      <c r="I124" s="631"/>
      <c r="J124" s="632"/>
      <c r="K124" s="1"/>
      <c r="L124" s="1"/>
      <c r="M124" s="594"/>
    </row>
    <row r="125" spans="1:47" ht="23" thickBot="1" x14ac:dyDescent="0.35">
      <c r="A125" s="327"/>
      <c r="B125" s="328"/>
      <c r="C125" s="328"/>
      <c r="D125" s="328"/>
      <c r="E125" s="327"/>
      <c r="F125" s="303"/>
      <c r="G125" s="312"/>
      <c r="H125" s="312"/>
      <c r="I125" s="631"/>
      <c r="J125" s="632"/>
      <c r="K125" s="1"/>
      <c r="L125" s="1"/>
      <c r="M125" s="594"/>
    </row>
    <row r="126" spans="1:47" ht="23" thickBot="1" x14ac:dyDescent="0.35">
      <c r="A126" s="327"/>
      <c r="B126" s="328"/>
      <c r="C126" s="328"/>
      <c r="D126" s="328"/>
      <c r="E126" s="327"/>
      <c r="F126" s="303"/>
      <c r="G126" s="312"/>
      <c r="H126" s="312"/>
      <c r="I126" s="631"/>
      <c r="J126" s="632"/>
      <c r="K126" s="1"/>
      <c r="L126" s="1"/>
      <c r="M126" s="594"/>
    </row>
    <row r="127" spans="1:47" ht="23" thickBot="1" x14ac:dyDescent="0.35">
      <c r="A127" s="327"/>
      <c r="B127" s="328"/>
      <c r="C127" s="328"/>
      <c r="D127" s="328"/>
      <c r="E127" s="327"/>
      <c r="F127" s="303"/>
      <c r="G127" s="312"/>
      <c r="H127" s="312"/>
      <c r="I127" s="631"/>
      <c r="J127" s="632"/>
      <c r="K127" s="1"/>
      <c r="L127" s="1"/>
      <c r="M127" s="594"/>
    </row>
    <row r="128" spans="1:47"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C1:BF1"/>
    <mergeCell ref="P1:S1"/>
    <mergeCell ref="AD1:AG1"/>
    <mergeCell ref="AQ1:AR1"/>
    <mergeCell ref="AU1:AV1"/>
    <mergeCell ref="AW1:AX1"/>
    <mergeCell ref="AZ1:BB1"/>
  </mergeCells>
  <phoneticPr fontId="49" type="noConversion"/>
  <conditionalFormatting sqref="G3:I96">
    <cfRule type="containsText" dxfId="706" priority="96" operator="containsText" text="x0">
      <formula>NOT(ISERROR(SEARCH("x0",G3)))</formula>
    </cfRule>
    <cfRule type="containsText" dxfId="705" priority="117" operator="containsText" text=" -">
      <formula>NOT(ISERROR(SEARCH(" -",G3)))</formula>
    </cfRule>
  </conditionalFormatting>
  <conditionalFormatting sqref="I3:I96">
    <cfRule type="containsText" dxfId="704" priority="116" operator="containsText" text=" -">
      <formula>NOT(ISERROR(SEARCH(" -",I3)))</formula>
    </cfRule>
  </conditionalFormatting>
  <conditionalFormatting sqref="M7:M89">
    <cfRule type="colorScale" priority="115">
      <colorScale>
        <cfvo type="min"/>
        <cfvo type="percentile" val="50"/>
        <cfvo type="max"/>
        <color rgb="FFF8696B"/>
        <color rgb="FFFFEB84"/>
        <color rgb="FF63BE7B"/>
      </colorScale>
    </cfRule>
  </conditionalFormatting>
  <conditionalFormatting sqref="B3:B96">
    <cfRule type="containsText" dxfId="703" priority="113" operator="containsText" text=" 0">
      <formula>NOT(ISERROR(SEARCH(" 0",B3)))</formula>
    </cfRule>
  </conditionalFormatting>
  <conditionalFormatting sqref="B3:B96">
    <cfRule type="containsText" dxfId="702" priority="114" operator="containsText" text=" -">
      <formula>NOT(ISERROR(SEARCH(" -",B3)))</formula>
    </cfRule>
  </conditionalFormatting>
  <conditionalFormatting sqref="H3:I96">
    <cfRule type="containsText" dxfId="701" priority="109" operator="containsText" text="Free">
      <formula>NOT(ISERROR(SEARCH("Free",H3)))</formula>
    </cfRule>
    <cfRule type="containsText" dxfId="700" priority="110" operator="containsText" text="Buy">
      <formula>NOT(ISERROR(SEARCH("Buy",H3)))</formula>
    </cfRule>
    <cfRule type="containsText" dxfId="699" priority="111" operator="containsText" text="Refill">
      <formula>NOT(ISERROR(SEARCH("Refill",H3)))</formula>
    </cfRule>
    <cfRule type="containsText" dxfId="698" priority="112" operator="containsText" text="S_more">
      <formula>NOT(ISERROR(SEARCH("S_more",H3)))</formula>
    </cfRule>
  </conditionalFormatting>
  <conditionalFormatting sqref="D98 C2:C96">
    <cfRule type="containsText" dxfId="697" priority="105" operator="containsText" text="Free">
      <formula>NOT(ISERROR(SEARCH("Free",C2)))</formula>
    </cfRule>
    <cfRule type="containsText" dxfId="696" priority="106" operator="containsText" text="Sell">
      <formula>NOT(ISERROR(SEARCH("Sell",C2)))</formula>
    </cfRule>
    <cfRule type="containsText" dxfId="695" priority="107" operator="containsText" text="Re-Sell">
      <formula>NOT(ISERROR(SEARCH("Re-Sell",C2)))</formula>
    </cfRule>
    <cfRule type="containsText" dxfId="694" priority="108" operator="containsText" text="B_more">
      <formula>NOT(ISERROR(SEARCH("B_more",C2)))</formula>
    </cfRule>
  </conditionalFormatting>
  <conditionalFormatting sqref="N98 E3:E96">
    <cfRule type="containsText" dxfId="693" priority="94" operator="containsText" text="Free">
      <formula>NOT(ISERROR(SEARCH("Free",E3)))</formula>
    </cfRule>
    <cfRule type="containsText" dxfId="692" priority="100" operator="containsText" text="M&lt;min">
      <formula>NOT(ISERROR(SEARCH("M&lt;min",E3)))</formula>
    </cfRule>
    <cfRule type="containsText" dxfId="691" priority="101" operator="containsText" text="A&lt;M">
      <formula>NOT(ISERROR(SEARCH("A&lt;M",E3)))</formula>
    </cfRule>
    <cfRule type="containsText" dxfId="690" priority="102" operator="containsText" text="M&gt;Last Sale">
      <formula>NOT(ISERROR(SEARCH("M&gt;Last Sale",E3)))</formula>
    </cfRule>
    <cfRule type="containsText" dxfId="689" priority="103" operator="containsText" text="M&gt;Y">
      <formula>NOT(ISERROR(SEARCH("M&gt;Y",E3)))</formula>
    </cfRule>
  </conditionalFormatting>
  <conditionalFormatting sqref="C3:C96">
    <cfRule type="expression" dxfId="688" priority="97">
      <formula>#REF!=0</formula>
    </cfRule>
  </conditionalFormatting>
  <conditionalFormatting sqref="N98 E3:E96">
    <cfRule type="containsText" dxfId="687" priority="99" operator="containsText" text="A&gt;M">
      <formula>NOT(ISERROR(SEARCH("A&gt;M",E3)))</formula>
    </cfRule>
  </conditionalFormatting>
  <conditionalFormatting sqref="BL2:BP96">
    <cfRule type="containsText" dxfId="686" priority="93" operator="containsText" text="Trade">
      <formula>NOT(ISERROR(SEARCH("Trade",BL2)))</formula>
    </cfRule>
  </conditionalFormatting>
  <conditionalFormatting sqref="D3:E96">
    <cfRule type="expression" dxfId="685" priority="118">
      <formula>#REF!=0</formula>
    </cfRule>
    <cfRule type="expression" dxfId="684" priority="119">
      <formula>LEFT(#REF!,5)="Trade"</formula>
    </cfRule>
  </conditionalFormatting>
  <conditionalFormatting sqref="BG30:BG95 M3:N96">
    <cfRule type="colorScale" priority="120">
      <colorScale>
        <cfvo type="min"/>
        <cfvo type="percentile" val="50"/>
        <cfvo type="max"/>
        <color rgb="FFF8696B"/>
        <color rgb="FFFFEB84"/>
        <color rgb="FF63BE7B"/>
      </colorScale>
    </cfRule>
  </conditionalFormatting>
  <conditionalFormatting sqref="BG30:BG95 N3:N96">
    <cfRule type="colorScale" priority="121">
      <colorScale>
        <cfvo type="min"/>
        <cfvo type="percentile" val="50"/>
        <cfvo type="max"/>
        <color rgb="FFF8696B"/>
        <color rgb="FFFFEB84"/>
        <color rgb="FF63BE7B"/>
      </colorScale>
    </cfRule>
  </conditionalFormatting>
  <conditionalFormatting sqref="BG3:BG96">
    <cfRule type="cellIs" dxfId="683" priority="90" operator="greaterThan">
      <formula>0</formula>
    </cfRule>
    <cfRule type="cellIs" dxfId="682" priority="91" operator="lessThan">
      <formula>0</formula>
    </cfRule>
  </conditionalFormatting>
  <conditionalFormatting sqref="BK3:BK96">
    <cfRule type="containsText" dxfId="681" priority="89" operator="containsText" text="Pile">
      <formula>NOT(ISERROR(SEARCH("Pile",BK3)))</formula>
    </cfRule>
  </conditionalFormatting>
  <conditionalFormatting sqref="BR97:BU97">
    <cfRule type="expression" dxfId="680" priority="88">
      <formula>$BM98&gt;=$BL98</formula>
    </cfRule>
  </conditionalFormatting>
  <conditionalFormatting sqref="BR2:BT3 BS4:BT94 BR4:BR96 BU2:BU94">
    <cfRule type="expression" dxfId="679" priority="122">
      <formula>$BR3&gt;=$BQ3</formula>
    </cfRule>
  </conditionalFormatting>
  <conditionalFormatting sqref="U97">
    <cfRule type="cellIs" dxfId="678" priority="87" operator="lessThan">
      <formula>"/ -"</formula>
    </cfRule>
  </conditionalFormatting>
  <conditionalFormatting sqref="S2:S97">
    <cfRule type="cellIs" dxfId="677" priority="85" operator="lessThan">
      <formula>-1000</formula>
    </cfRule>
    <cfRule type="cellIs" dxfId="676" priority="86" operator="greaterThan">
      <formula>1000</formula>
    </cfRule>
  </conditionalFormatting>
  <conditionalFormatting sqref="O3:O96">
    <cfRule type="containsText" dxfId="675" priority="84" operator="containsText" text="Pile">
      <formula>NOT(ISERROR(SEARCH("Pile",O3)))</formula>
    </cfRule>
  </conditionalFormatting>
  <conditionalFormatting sqref="BF3:BF96">
    <cfRule type="cellIs" dxfId="674" priority="81" operator="lessThan">
      <formula>0</formula>
    </cfRule>
    <cfRule type="expression" dxfId="673" priority="123">
      <formula>AND($BF3&gt;50%,$BF3&lt;100%)</formula>
    </cfRule>
    <cfRule type="cellIs" dxfId="672" priority="124" operator="greaterThan">
      <formula>1</formula>
    </cfRule>
  </conditionalFormatting>
  <conditionalFormatting sqref="U3:U96">
    <cfRule type="containsText" dxfId="671" priority="1" operator="containsText" text="/ -">
      <formula>NOT(ISERROR(SEARCH("/ -",U3)))</formula>
    </cfRule>
    <cfRule type="containsText" dxfId="670" priority="79" operator="containsText" text="&gt;-">
      <formula>NOT(ISERROR(SEARCH("&gt;-",U3)))</formula>
    </cfRule>
  </conditionalFormatting>
  <conditionalFormatting sqref="BQ2:BQ96">
    <cfRule type="containsText" dxfId="669" priority="77" operator="containsText" text="Trade">
      <formula>NOT(ISERROR(SEARCH("Trade",BQ2)))</formula>
    </cfRule>
  </conditionalFormatting>
  <conditionalFormatting sqref="AD101">
    <cfRule type="containsText" dxfId="668" priority="72" operator="containsText" text="More">
      <formula>NOT(ISERROR(SEARCH("More",AD101)))</formula>
    </cfRule>
    <cfRule type="containsText" dxfId="667" priority="73" operator="containsText" text="Up">
      <formula>NOT(ISERROR(SEARCH("Up",AD101)))</formula>
    </cfRule>
    <cfRule type="containsText" dxfId="666" priority="74" operator="containsText" text="Down">
      <formula>NOT(ISERROR(SEARCH("Down",AD101)))</formula>
    </cfRule>
  </conditionalFormatting>
  <conditionalFormatting sqref="AD101">
    <cfRule type="containsText" dxfId="665" priority="75" operator="containsText" text="Buy">
      <formula>NOT(ISERROR(SEARCH("Buy",AD101)))</formula>
    </cfRule>
    <cfRule type="containsText" dxfId="664" priority="76" operator="containsText" text="Sell">
      <formula>NOT(ISERROR(SEARCH("Sell",AD101)))</formula>
    </cfRule>
  </conditionalFormatting>
  <conditionalFormatting sqref="AD102">
    <cfRule type="containsText" dxfId="663" priority="67" operator="containsText" text="More">
      <formula>NOT(ISERROR(SEARCH("More",AD102)))</formula>
    </cfRule>
    <cfRule type="containsText" dxfId="662" priority="68" operator="containsText" text="Up">
      <formula>NOT(ISERROR(SEARCH("Up",AD102)))</formula>
    </cfRule>
    <cfRule type="containsText" dxfId="661" priority="69" operator="containsText" text="Down">
      <formula>NOT(ISERROR(SEARCH("Down",AD102)))</formula>
    </cfRule>
  </conditionalFormatting>
  <conditionalFormatting sqref="AD102">
    <cfRule type="containsText" dxfId="660" priority="70" operator="containsText" text="Buy">
      <formula>NOT(ISERROR(SEARCH("Buy",AD102)))</formula>
    </cfRule>
    <cfRule type="containsText" dxfId="659" priority="71" operator="containsText" text="Sell">
      <formula>NOT(ISERROR(SEARCH("Sell",AD102)))</formula>
    </cfRule>
  </conditionalFormatting>
  <conditionalFormatting sqref="AD105">
    <cfRule type="containsText" dxfId="658" priority="62" operator="containsText" text="More">
      <formula>NOT(ISERROR(SEARCH("More",AD105)))</formula>
    </cfRule>
    <cfRule type="containsText" dxfId="657" priority="63" operator="containsText" text="Up">
      <formula>NOT(ISERROR(SEARCH("Up",AD105)))</formula>
    </cfRule>
    <cfRule type="containsText" dxfId="656" priority="64" operator="containsText" text="Down">
      <formula>NOT(ISERROR(SEARCH("Down",AD105)))</formula>
    </cfRule>
  </conditionalFormatting>
  <conditionalFormatting sqref="AD105">
    <cfRule type="containsText" dxfId="655" priority="65" operator="containsText" text="Buy">
      <formula>NOT(ISERROR(SEARCH("Buy",AD105)))</formula>
    </cfRule>
    <cfRule type="containsText" dxfId="654" priority="66" operator="containsText" text="Sell">
      <formula>NOT(ISERROR(SEARCH("Sell",AD105)))</formula>
    </cfRule>
  </conditionalFormatting>
  <conditionalFormatting sqref="AD106">
    <cfRule type="containsText" dxfId="653" priority="57" operator="containsText" text="More">
      <formula>NOT(ISERROR(SEARCH("More",AD106)))</formula>
    </cfRule>
    <cfRule type="containsText" dxfId="652" priority="58" operator="containsText" text="Up">
      <formula>NOT(ISERROR(SEARCH("Up",AD106)))</formula>
    </cfRule>
    <cfRule type="containsText" dxfId="651" priority="59" operator="containsText" text="Down">
      <formula>NOT(ISERROR(SEARCH("Down",AD106)))</formula>
    </cfRule>
  </conditionalFormatting>
  <conditionalFormatting sqref="AD106">
    <cfRule type="containsText" dxfId="650" priority="60" operator="containsText" text="Buy">
      <formula>NOT(ISERROR(SEARCH("Buy",AD106)))</formula>
    </cfRule>
    <cfRule type="containsText" dxfId="649" priority="61" operator="containsText" text="Sell">
      <formula>NOT(ISERROR(SEARCH("Sell",AD106)))</formula>
    </cfRule>
  </conditionalFormatting>
  <conditionalFormatting sqref="BA3:BA96">
    <cfRule type="containsText" dxfId="648" priority="52" operator="containsText" text="More">
      <formula>NOT(ISERROR(SEARCH("More",BA3)))</formula>
    </cfRule>
    <cfRule type="containsText" dxfId="647" priority="53" operator="containsText" text="Up">
      <formula>NOT(ISERROR(SEARCH("Up",BA3)))</formula>
    </cfRule>
    <cfRule type="containsText" dxfId="646" priority="54" operator="containsText" text="Down">
      <formula>NOT(ISERROR(SEARCH("Down",BA3)))</formula>
    </cfRule>
  </conditionalFormatting>
  <conditionalFormatting sqref="BA3:BA96">
    <cfRule type="containsText" dxfId="645" priority="55" operator="containsText" text="Buy">
      <formula>NOT(ISERROR(SEARCH("Buy",BA3)))</formula>
    </cfRule>
    <cfRule type="containsText" dxfId="644" priority="56" operator="containsText" text="Sell">
      <formula>NOT(ISERROR(SEARCH("Sell",BA3)))</formula>
    </cfRule>
  </conditionalFormatting>
  <conditionalFormatting sqref="Y3:Y96">
    <cfRule type="expression" dxfId="643" priority="46">
      <formula>AND(Y3&lt;&gt;0,Y3&lt;MIN(W3,AA3))</formula>
    </cfRule>
    <cfRule type="expression" dxfId="642" priority="51">
      <formula>AND(Y3&lt;&gt;0,Y3&lt;W3,Y3&gt;AA3)</formula>
    </cfRule>
  </conditionalFormatting>
  <conditionalFormatting sqref="T3:T96">
    <cfRule type="expression" dxfId="641" priority="125" stopIfTrue="1">
      <formula>$T3&gt;MAX(ABS($AA3),$W3)</formula>
    </cfRule>
    <cfRule type="expression" dxfId="640" priority="126" stopIfTrue="1">
      <formula>$T3&gt;AND(MAX(ABS($AA3),$W3),ABS($AA3)&lt;$W3)</formula>
    </cfRule>
  </conditionalFormatting>
  <conditionalFormatting sqref="T3:T96">
    <cfRule type="expression" dxfId="639" priority="127" stopIfTrue="1">
      <formula>AND($T3&lt;=MIN(ABS($AA3),$W3),ABS($AA3)&gt;$W3,$W3&lt;=0)</formula>
    </cfRule>
    <cfRule type="expression" dxfId="638" priority="128" stopIfTrue="1">
      <formula>AND($T3&lt;=MIN(ABS($AA3),$W3),ABS($AA3)&lt;$W3,$W3&lt;=0)</formula>
    </cfRule>
  </conditionalFormatting>
  <conditionalFormatting sqref="W3:W96">
    <cfRule type="expression" dxfId="637" priority="129">
      <formula>W3&gt;MAX(AA3,Y3)</formula>
    </cfRule>
    <cfRule type="expression" dxfId="636" priority="130">
      <formula>AND(W3&gt;MAX(Y3,AA3), AA3&lt;Y3)</formula>
    </cfRule>
    <cfRule type="expression" dxfId="635" priority="131" stopIfTrue="1">
      <formula>AND(W3&gt;MAX(Y3,AA3), AA3&gt;Y3)</formula>
    </cfRule>
    <cfRule type="expression" dxfId="634" priority="132">
      <formula>AND(W3&lt;MIN(Y3,AA3),AA3&lt;Y3)</formula>
    </cfRule>
    <cfRule type="expression" dxfId="633" priority="133">
      <formula>AND(W3&gt;Y3,AA3&gt;MAX(Y3,W3))</formula>
    </cfRule>
  </conditionalFormatting>
  <conditionalFormatting sqref="AY3:AY96">
    <cfRule type="containsText" dxfId="632" priority="48" operator="containsText" text="No">
      <formula>NOT(ISERROR(SEARCH("No",AY3)))</formula>
    </cfRule>
    <cfRule type="containsText" dxfId="631" priority="49" operator="containsText" text="M&lt;">
      <formula>NOT(ISERROR(SEARCH("M&lt;",AY3)))</formula>
    </cfRule>
    <cfRule type="containsText" dxfId="630" priority="50" operator="containsText" text="M&gt;">
      <formula>NOT(ISERROR(SEARCH("M&gt;",AY3)))</formula>
    </cfRule>
  </conditionalFormatting>
  <conditionalFormatting sqref="AA3:AA96">
    <cfRule type="expression" dxfId="629" priority="47">
      <formula>$AA3&lt;MIN($W3,$Y3)</formula>
    </cfRule>
  </conditionalFormatting>
  <conditionalFormatting sqref="AP2:AP97">
    <cfRule type="containsText" dxfId="628" priority="45" operator="containsText" text="Don't">
      <formula>NOT(ISERROR(SEARCH("Don't",AP2)))</formula>
    </cfRule>
  </conditionalFormatting>
  <conditionalFormatting sqref="AS2:AS97">
    <cfRule type="cellIs" dxfId="627" priority="44" operator="lessThan">
      <formula>0.5</formula>
    </cfRule>
  </conditionalFormatting>
  <conditionalFormatting sqref="AR2:AR96">
    <cfRule type="cellIs" dxfId="626" priority="43" operator="lessThan">
      <formula>0</formula>
    </cfRule>
  </conditionalFormatting>
  <conditionalFormatting sqref="X1:X97">
    <cfRule type="containsText" dxfId="625" priority="42" operator="containsText" text="WBA">
      <formula>NOT(ISERROR(SEARCH("WBA",X1)))</formula>
    </cfRule>
  </conditionalFormatting>
  <conditionalFormatting sqref="BS95:BU95">
    <cfRule type="expression" dxfId="624" priority="134">
      <formula>$BR97&gt;=$BQ97</formula>
    </cfRule>
  </conditionalFormatting>
  <conditionalFormatting sqref="AU3:AW96 AO3:AQ96">
    <cfRule type="expression" dxfId="623" priority="135">
      <formula>$AE3=$AD$102</formula>
    </cfRule>
  </conditionalFormatting>
  <conditionalFormatting sqref="AO3:AO78 AM79:AO96">
    <cfRule type="expression" dxfId="622" priority="136">
      <formula>$AE3=$AD$105</formula>
    </cfRule>
  </conditionalFormatting>
  <conditionalFormatting sqref="AU3:AW96 AO3:AQ78 AM79:AQ96">
    <cfRule type="expression" dxfId="621" priority="137">
      <formula>$AE3=$AD$106</formula>
    </cfRule>
  </conditionalFormatting>
  <conditionalFormatting sqref="X96">
    <cfRule type="expression" dxfId="620" priority="41">
      <formula>AND(ROW()&gt;2, ROW()=SelRowNum)</formula>
    </cfRule>
  </conditionalFormatting>
  <conditionalFormatting sqref="X96">
    <cfRule type="expression" dxfId="619" priority="40">
      <formula>AND(ROW()&gt;2, ROW()=SelRowNum)</formula>
    </cfRule>
  </conditionalFormatting>
  <conditionalFormatting sqref="BC96">
    <cfRule type="expression" dxfId="618" priority="39">
      <formula>AND(ROW()&gt;2, ROW()=SelRowNum)</formula>
    </cfRule>
  </conditionalFormatting>
  <conditionalFormatting sqref="AP96">
    <cfRule type="expression" dxfId="617" priority="38">
      <formula>AND(ROW()&gt;2, ROW()=SelRowNum)</formula>
    </cfRule>
  </conditionalFormatting>
  <conditionalFormatting sqref="AE96">
    <cfRule type="expression" dxfId="616" priority="37">
      <formula>AND(ROW()&gt;2, ROW()=SelRowNum)</formula>
    </cfRule>
  </conditionalFormatting>
  <conditionalFormatting sqref="AR96">
    <cfRule type="expression" dxfId="615" priority="36">
      <formula>AND(ROW()&gt;2, ROW()=SelRowNum)</formula>
    </cfRule>
  </conditionalFormatting>
  <conditionalFormatting sqref="AM3:AN78">
    <cfRule type="containsText" priority="30" operator="containsText" text="&quot;&quot;">
      <formula>NOT(ISERROR(SEARCH("""""",AM3)))</formula>
    </cfRule>
  </conditionalFormatting>
  <conditionalFormatting sqref="AS46">
    <cfRule type="cellIs" dxfId="614" priority="29" operator="lessThan">
      <formula>0</formula>
    </cfRule>
  </conditionalFormatting>
  <conditionalFormatting sqref="AI2">
    <cfRule type="expression" dxfId="613" priority="16">
      <formula>$AE3=$AD$101</formula>
    </cfRule>
  </conditionalFormatting>
  <conditionalFormatting sqref="AJ3:AK96">
    <cfRule type="expression" dxfId="612" priority="7">
      <formula>$AE3=$AD$105</formula>
    </cfRule>
    <cfRule type="expression" dxfId="611" priority="15">
      <formula>$AE3=$AD$106</formula>
    </cfRule>
  </conditionalFormatting>
  <conditionalFormatting sqref="AH3:AI96">
    <cfRule type="expression" dxfId="610" priority="12">
      <formula>$AE3=$AD$101</formula>
    </cfRule>
    <cfRule type="expression" dxfId="609" priority="13">
      <formula>$AE3=$AD$102</formula>
    </cfRule>
  </conditionalFormatting>
  <conditionalFormatting sqref="AE3:AE96">
    <cfRule type="expression" dxfId="608" priority="8">
      <formula>$AE3=$AD$106</formula>
    </cfRule>
    <cfRule type="expression" dxfId="607" priority="9">
      <formula>$AE3=$AD$102</formula>
    </cfRule>
    <cfRule type="expression" dxfId="606" priority="10">
      <formula>$AE3=$AD$105</formula>
    </cfRule>
    <cfRule type="expression" dxfId="605" priority="11">
      <formula>$AE3=$AD$101</formula>
    </cfRule>
  </conditionalFormatting>
  <conditionalFormatting sqref="AI3:AI96">
    <cfRule type="cellIs" dxfId="604" priority="3" operator="greaterThan">
      <formula>0</formula>
    </cfRule>
    <cfRule type="cellIs" dxfId="603" priority="5" operator="lessThan">
      <formula>0</formula>
    </cfRule>
  </conditionalFormatting>
  <conditionalFormatting sqref="AK7:AK96">
    <cfRule type="cellIs" dxfId="602" priority="4" operator="greaterThan">
      <formula>0</formula>
    </cfRule>
  </conditionalFormatting>
  <conditionalFormatting sqref="AK3:AK96">
    <cfRule type="cellIs" dxfId="601" priority="2" operator="greaterThan">
      <formula>0</formula>
    </cfRule>
  </conditionalFormatting>
  <conditionalFormatting sqref="AD3:AD96">
    <cfRule type="containsText" dxfId="600" priority="82" operator="containsText" text="Trade">
      <formula>NOT(ISERROR(SEARCH("Trade",AD3)))</formula>
    </cfRule>
    <cfRule type="containsText" dxfId="599" priority="83" operator="containsText" text="Pile ^">
      <formula>NOT(ISERROR(SEARCH("Pile ^",AD3)))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5"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98"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04" operator="containsText" id="{F33C8B8C-F9BA-4A49-AF73-4EBC0AB90D5A}">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92" operator="containsText" id="{A8819879-52D7-6948-91EE-FE5AA54B6B83}">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8" operator="containsText" id="{4203D104-6D11-CF48-BEED-0682AF57FA96}">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31" operator="containsText" id="{0D8719F9-5859-D84F-94C6-59C710AFDC1C}">
            <xm:f>NOT(ISERROR(SEARCH("-",AM3)))</xm:f>
            <xm:f>"-"</xm:f>
            <x14:dxf>
              <fill>
                <patternFill>
                  <bgColor theme="9" tint="0.39994506668294322"/>
                </patternFill>
              </fill>
            </x14:dxf>
          </x14:cfRule>
          <xm:sqref>AM3:AN78</xm:sqref>
        </x14:conditionalFormatting>
        <x14:conditionalFormatting xmlns:xm="http://schemas.microsoft.com/office/excel/2006/main">
          <x14:cfRule type="containsText" priority="80" operator="containsText" id="{8DAA2110-E35A-4041-85FA-8C3C047018C3}">
            <xm:f>NOT(ISERROR(SEARCH("-",AD3)))</xm:f>
            <xm:f>"-"</xm:f>
            <x14:dxf>
              <font>
                <color rgb="FF9C0006"/>
              </font>
              <fill>
                <patternFill>
                  <bgColor rgb="FFFFC7CE"/>
                </patternFill>
              </fill>
            </x14:dxf>
          </x14:cfRule>
          <xm:sqref>AD3:AD96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B78"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8" t="s">
        <v>2501</v>
      </c>
      <c r="N1" s="1481" t="s">
        <v>2502</v>
      </c>
      <c r="O1" s="1482"/>
      <c r="P1" s="1482"/>
      <c r="Q1" s="1482"/>
      <c r="R1" s="1482"/>
      <c r="S1" s="1482"/>
      <c r="T1" s="1483"/>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2761</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2758</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402" t="s">
        <v>188</v>
      </c>
      <c r="DF2" s="1402" t="s">
        <v>187</v>
      </c>
      <c r="DI2" s="1" t="s">
        <v>2755</v>
      </c>
      <c r="DJ2" s="1" t="s">
        <v>2757</v>
      </c>
      <c r="DL2" s="1" t="s">
        <v>2754</v>
      </c>
      <c r="DM2" s="1" t="s">
        <v>2756</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2545971.5</v>
      </c>
      <c r="G3" s="82">
        <f ca="1">IFERROR(TabCalc[[#This Row],[SB]]-TabCalc[[#This Row],[SST]],TabCalc[[#This Row],[SB]])</f>
        <v>9500</v>
      </c>
      <c r="H3" s="532" t="str">
        <f ca="1">[1]!RTData[[#This Row],[Ticker_Symbol]]</f>
        <v>AAPL</v>
      </c>
      <c r="I3" s="383">
        <f ca="1">_xlfn.XLOOKUP(TabCalc[[#This Row],[Ticker]],[1]!RTData[Ticker_Symbol],[1]!RTData[M-Price])</f>
        <v>267.99700000000001</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-6.5719999999999997E-3</v>
      </c>
      <c r="N3" s="1077">
        <v>0</v>
      </c>
      <c r="O3" s="899">
        <f>TabCalc[[#This Row],[Up20]]-1+TabCalc[[#This Row],[Up20]]</f>
        <v>-1</v>
      </c>
      <c r="P3" s="899">
        <f>TabCalc[[#This Row],[Up20]]-TabCalc[[#This Row],[Up150]]</f>
        <v>-0.33333333333333331</v>
      </c>
      <c r="Q3" s="899">
        <v>0.33333333333333331</v>
      </c>
      <c r="R3" s="899">
        <f>TabCalc[[#This Row],[Up150]]-1+TabCalc[[#This Row],[Up150]]</f>
        <v>-0.33333333333333343</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3895.4000000000005</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20189.100000000006</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1021.5000000000032</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-2208.500000000015</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-16843.5</v>
      </c>
      <c r="AQ3" s="334">
        <f ca="1">_xlfn.LET(_xlpm.MVToday,DataShift!AV505,         _xlpm.MVY,DataShift!AU505,        _xlpm.MVYY, DataShift!AT505,                                IF(_xlpm.MVToday=_xlpm.MVY,_xlpm.MVY-_xlpm.MVYY,_xlpm.MVToday-_xlpm.MVY))</f>
        <v>-23778.5</v>
      </c>
      <c r="AR3" s="334">
        <f ca="1">_xlfn.LET(_xlpm.MVToday,DataShift!AV505,         _xlpm.MVY,DataShift!AU505,        _xlpm.MVYY, DataShift!AT505,         _xlpm.MVYYY, DataShift!AS505,                      IF(_xlpm.MVToday=_xlpm.MVY,      _xlpm.MVYY-_xlpm.MVYYY,          _xlpm.MVY-_xlpm.MVYY))</f>
        <v>3420</v>
      </c>
      <c r="AS3" s="984">
        <f ca="1">TabCalc[[#This Row],[Y]]/TabCalc[[#This Row],[M]]</f>
        <v>1.0314703895939132</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-8.0980326871670869E-3</v>
      </c>
      <c r="AY3" s="82">
        <f t="shared" ref="AY3:AY36" ca="1" si="1">IF(G3&lt;C3,C3-G3,0)</f>
        <v>0</v>
      </c>
      <c r="AZ3" s="90">
        <f ca="1">_xlfn.XLOOKUP(TabCalc[[#This Row],[Ticker]],[1]!RTData[Ticker_Symbol],[1]!RTData[V/VA])</f>
        <v>0.75361006056948199</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0.75361006056948199</v>
      </c>
      <c r="BC3" s="87" cm="1">
        <f t="array" aca="1" ref="BC3" ca="1">INDEX(TabReg[], 1, _xlfn.XMATCH(TabCalc[[#This Row],[Ticker]]&amp;1, TabReg[#Headers], 0))</f>
        <v>5000</v>
      </c>
      <c r="BD3" s="159">
        <f ca="1">TabCalc[[#This Row],[Nbegin]]*TabCalc[[#This Row],[M]]*TabCalc[[#This Row],[Scale]]+TabCalc[[#This Row],[ValueBegin]]</f>
        <v>802685</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2008671.5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1133084.3750000002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45968.870792939066</v>
      </c>
      <c r="BT3" s="175">
        <f ca="1">(TabCalc[[#This Row],[ValueBegin]]+(TabCalc[[#This Row],[M]]-TabCalc[[#This Row],[A]])*TabCalc[[#This Row],[NAfter]])*TabCalc[[#This Row],[Scale]]</f>
        <v>-5506.1099999997532</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531793.89000000025</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2447.3813020068451</v>
      </c>
      <c r="CV3" s="404">
        <f ca="1">IF(TabCalc[[#This Row],[ntoBuy]]*TabCalc[[#This Row],[M]]&lt;=0,0,TabCalc[[#This Row],[ntoBuy]]*TabCalc[[#This Row],[M]])</f>
        <v>655890.84679392853</v>
      </c>
      <c r="CW3" s="404">
        <f ca="1">IF(TabCalc[[#This Row],[M]]&gt;ABS(TabCalc[[#This Row],[L_Bp]]),MIN(TabCalc[[#This Row],[NAfter]],DesiredSaleGain/(TabCalc[[#This Row],[M]]+TabCalc[[#This Row],[L_Bp]])),0)/TabCalc[[#This Row],[Scale]]</f>
        <v>256.71304615700564</v>
      </c>
      <c r="CX3" s="405">
        <f ca="1">TabCalc[[#This Row],[ntoSell]]*TabCalc[[#This Row],[M]]</f>
        <v>68798.326230939041</v>
      </c>
      <c r="CY3" s="398">
        <f ca="1">_xlfn.LET(_xlpm.nToSell,IF(TabCalc[[#This Row],[M]]-TabCalc[[#This Row],[A]]&lt;=0,"",INT(DesiredSaleGain/(TabCalc[[#This Row],[M]]-IF(TabCalc[[#This Row],[E]]&gt;0,0,TabCalc[[#This Row],[A]])))),IF(_xlpm.nToSell&lt;=TabCalc[[#This Row],[NAfter]],_xlpm.nToSell,0))</f>
        <v>89</v>
      </c>
      <c r="CZ3" s="336">
        <f ca="1">IFERROR(TabCalc[[#This Row],[NMA]]*TabCalc[[#This Row],[M]],"")</f>
        <v>23851.733</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531793.89000000025</v>
      </c>
      <c r="DB3" s="90">
        <f ca="1">IFERROR((TabCalc[[#This Row],[M]]+TabCalc[[#This Row],[L_Bp]])/ABS(TabCalc[[#This Row],[L_Bp]])/(TODAY()-TabCalc[[#This Row],[L_Bdate]])*360,"")</f>
        <v>1.1285562530178659</v>
      </c>
      <c r="DC3" s="310">
        <f ca="1">MEDIAN(DataShift!F704:Z704)</f>
        <v>1.333E-3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1339985</v>
      </c>
      <c r="DF3" s="87" cm="1">
        <f t="array" aca="1" ref="DF3" ca="1">SUMPRODUCT(ISNUMBER(INDIRECT("TabReg["&amp;TabCalc[[#This Row],[Ticker]]&amp;"2]"))* INDIRECT("TabReg["&amp;TabCalc[[#This Row],[Ticker]]&amp;"1]") * INDIRECT("TabReg["&amp;TabCalc[[#This Row],[Ticker]]&amp;"2]") )*TabCalc[[#This Row],[Scale]]</f>
        <v>-1412887.1249999998</v>
      </c>
      <c r="DI3" s="1403" cm="1">
        <f t="array" aca="1" ref="DI3:DI96" ca="1">_xlfn._xlws.SORT(TabCalc[[#Data],[Column1]],,-1)</f>
        <v>5475700</v>
      </c>
      <c r="DJ3" s="90">
        <f t="shared" ref="DJ3:DJ34" ca="1" si="2">DN3/ABS(DL3)</f>
        <v>0.38241304205423815</v>
      </c>
      <c r="DK3" t="str">
        <f ca="1">_xlfn.XLOOKUP(DI3,TabCalc[Column1],TabCalc[Ticker])</f>
        <v>EOAN</v>
      </c>
      <c r="DL3" s="1403">
        <f ca="1">_xlfn.XLOOKUP(DK3,TabCalc[Ticker],TabCalc[ValueBegin])</f>
        <v>-3053200</v>
      </c>
      <c r="DM3" s="1403">
        <f ca="1">_xlfn.XLOOKUP(DK3,TabCalc[Ticker],TabCalc[M_V])</f>
        <v>241575</v>
      </c>
      <c r="DN3" s="1403">
        <f ca="1">_xlfn.XLOOKUP(DK3,TabCalc[Ticker],TabCalc[GL])</f>
        <v>1167583.5</v>
      </c>
      <c r="DO3" s="90"/>
      <c r="DP3" s="90"/>
      <c r="DQ3" s="88" t="s">
        <v>0</v>
      </c>
      <c r="DR3" s="81">
        <v>5000</v>
      </c>
      <c r="DS3" s="315">
        <v>-107.46</v>
      </c>
      <c r="DU3" s="82">
        <v>2700400</v>
      </c>
      <c r="DV3" s="82">
        <f ca="1">DU3-TabCalc[[#This Row],[M_V]]</f>
        <v>154428.5</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70225</v>
      </c>
      <c r="G4" s="82">
        <f ca="1">IFERROR(TabCalc[[#This Row],[SB]]-TabCalc[[#This Row],[SST]],TabCalc[[#This Row],[SB]])</f>
        <v>5000</v>
      </c>
      <c r="H4" s="532" t="str">
        <f ca="1">[1]!RTData[[#This Row],[Ticker_Symbol]]</f>
        <v>ADEA</v>
      </c>
      <c r="I4" s="383">
        <f ca="1">_xlfn.XLOOKUP(TabCalc[[#This Row],[Ticker]],[1]!RTData[Ticker_Symbol],[1]!RTData[M-Price])</f>
        <v>14.045</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3.2140000000000003E-3</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-38.950000000000017</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2870.0000000000009</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2814.9999999999995</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7848.7500000000055</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1175</v>
      </c>
      <c r="AQ4" s="334">
        <f ca="1">_xlfn.LET(_xlpm.MVToday,DataShift!AV506,         _xlpm.MVY,DataShift!AU506,        _xlpm.MVYY, DataShift!AT506,                                IF(_xlpm.MVToday=_xlpm.MVY,_xlpm.MVY-_xlpm.MVYY,_xlpm.MVToday-_xlpm.MVY))</f>
        <v>550</v>
      </c>
      <c r="AR4" s="334">
        <f ca="1">_xlfn.LET(_xlpm.MVToday,DataShift!AV506,         _xlpm.MVY,DataShift!AU506,        _xlpm.MVYY, DataShift!AT506,         _xlpm.MVYYY, DataShift!AS506,                      IF(_xlpm.MVToday=_xlpm.MVY,      _xlpm.MVYY-_xlpm.MVYYY,          _xlpm.MVY-_xlpm.MVYY))</f>
        <v>775</v>
      </c>
      <c r="AS4" s="984">
        <f ca="1">TabCalc[[#This Row],[Y]]/TabCalc[[#This Row],[M]]</f>
        <v>1.4714610181559273</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-1.0002541260498425</v>
      </c>
      <c r="AY4" s="82">
        <f t="shared" ca="1" si="1"/>
        <v>4000</v>
      </c>
      <c r="AZ4" s="90">
        <f ca="1">_xlfn.XLOOKUP(TabCalc[[#This Row],[Ticker]],[1]!RTData[Ticker_Symbol],[1]!RTData[V/VA])</f>
        <v>1.3883562973538</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1.3883562973538</v>
      </c>
      <c r="BC4" s="87" cm="1">
        <f t="array" aca="1" ref="BC4" ca="1">INDEX(TabReg[], 1, _xlfn.XMATCH(TabCalc[[#This Row],[Ticker]]&amp;1, TabReg[#Headers], 0))</f>
        <v>9000</v>
      </c>
      <c r="BD4" s="159">
        <f ca="1">TabCalc[[#This Row],[Nbegin]]*TabCalc[[#This Row],[M]]*TabCalc[[#This Row],[Scale]]+TabCalc[[#This Row],[ValueBegin]]</f>
        <v>37875.995999999999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-18304.004000000001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40641.09498200001</v>
      </c>
      <c r="BM4" s="159">
        <f ca="1">IF(        OR( TabCalc[[#This Row],[GL]]&gt;ABS(TabCalc[[#This Row],[EfCost]]),TabCalc[[#This Row],[NAfter]]=0),             TabCalc[[#This Row],[GL]],     0)</f>
        <v>40641.09498200001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9.24</v>
      </c>
      <c r="BR4" s="174" t="str">
        <f ca="1">IF(TabCalc[[#This Row],[EfCost]]+TabCalc[[#This Row],[M_V]]&lt;TabCalc[[#This Row],[NoT_GL]],"Pile","")</f>
        <v/>
      </c>
      <c r="BS4" s="165">
        <f ca="1">_xlfn.XLOOKUP(TabCalc[[#This Row],[Ticker]],[1]!RTData[Ticker_Symbol],[1]!RTData[Last trade time])</f>
        <v>45968.870793055466</v>
      </c>
      <c r="BT4" s="175">
        <f ca="1">(TabCalc[[#This Row],[ValueBegin]]+(TabCalc[[#This Row],[M]]-TabCalc[[#This Row],[A]])*TabCalc[[#This Row],[NAfter]])*TabCalc[[#This Row],[Scale]]</f>
        <v>-83677.903999999995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4851.1000000000058</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1776.1989342806398</v>
      </c>
      <c r="CV4" s="404">
        <f ca="1">IF(TabCalc[[#This Row],[ntoBuy]]*TabCalc[[#This Row],[M]]&lt;=0,0,TabCalc[[#This Row],[ntoBuy]]*TabCalc[[#This Row],[M]])</f>
        <v>24946.714031971587</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4851.1000000000058</v>
      </c>
      <c r="DB4" s="90">
        <f ca="1">IFERROR((TabCalc[[#This Row],[M]]+TabCalc[[#This Row],[L_Bp]])/ABS(TabCalc[[#This Row],[L_Bp]])/(TODAY()-TabCalc[[#This Row],[L_Bdate]])*360,"")</f>
        <v>-4.5831392640894281E-2</v>
      </c>
      <c r="DC4" s="310">
        <f ca="1">MEDIAN(DataShift!F705:Z705)</f>
        <v>3.2140000000000003E-3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126405</v>
      </c>
      <c r="DF4" s="87" cm="1">
        <f t="array" aca="1" ref="DF4" ca="1">SUMPRODUCT(ISNUMBER(INDIRECT("TabReg["&amp;TabCalc[[#This Row],[Ticker]]&amp;"2]"))* INDIRECT("TabReg["&amp;TabCalc[[#This Row],[Ticker]]&amp;"1]") * INDIRECT("TabReg["&amp;TabCalc[[#This Row],[Ticker]]&amp;"2]") )*TabCalc[[#This Row],[Scale]]</f>
        <v>-29583.90501799999</v>
      </c>
      <c r="DI4" s="1403">
        <f ca="1"/>
        <v>4976300</v>
      </c>
      <c r="DJ4" s="90">
        <f t="shared" ca="1" si="2"/>
        <v>3.756469055745165</v>
      </c>
      <c r="DK4" t="str">
        <f ca="1">_xlfn.XLOOKUP(DI4,TabCalc[Column1],TabCalc[Ticker])</f>
        <v>MSFT</v>
      </c>
      <c r="DL4" s="1403">
        <f ca="1">_xlfn.XLOOKUP(DK4,TabCalc[Ticker],TabCalc[ValueBegin])</f>
        <v>-1054800</v>
      </c>
      <c r="DM4" s="1403">
        <f ca="1">_xlfn.XLOOKUP(DK4,TabCalc[Ticker],TabCalc[M_V])</f>
        <v>4876774</v>
      </c>
      <c r="DN4" s="1403">
        <f ca="1">_xlfn.XLOOKUP(DK4,TabCalc[Ticker],TabCalc[GL])</f>
        <v>3962323.56</v>
      </c>
      <c r="DO4" s="90"/>
      <c r="DP4" s="90"/>
      <c r="DQ4" s="88" t="s">
        <v>1</v>
      </c>
      <c r="DR4" s="82">
        <v>9000</v>
      </c>
      <c r="DS4" s="315">
        <v>-9.8365559999999999</v>
      </c>
      <c r="DU4" s="82">
        <v>63750</v>
      </c>
      <c r="DV4" s="82">
        <f ca="1">DU4-TabCalc[[#This Row],[M_V]]</f>
        <v>-6475</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366540</v>
      </c>
      <c r="G5" s="82">
        <f ca="1">IFERROR(TabCalc[[#This Row],[SB]]-TabCalc[[#This Row],[SST]],TabCalc[[#This Row],[SB]])</f>
        <v>820000</v>
      </c>
      <c r="H5" s="532" t="str">
        <f ca="1">[1]!RTData[[#This Row],[Ticker_Symbol]]</f>
        <v>AET</v>
      </c>
      <c r="I5" s="383">
        <f ca="1">_xlfn.XLOOKUP(TabCalc[[#This Row],[Ticker]],[1]!RTData[Ticker_Symbol],[1]!RTData[M-Price])</f>
        <v>44.7</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6.757E-3</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-89.999999999999858</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-109.99999999999943</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1461.9999999999991</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8027.9999999999955</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0</v>
      </c>
      <c r="AQ5" s="334">
        <f ca="1">_xlfn.LET(_xlpm.MVToday,DataShift!AV507,         _xlpm.MVY,DataShift!AU507,        _xlpm.MVYY, DataShift!AT507,                                IF(_xlpm.MVToday=_xlpm.MVY,_xlpm.MVY-_xlpm.MVYY,_xlpm.MVToday-_xlpm.MVY))</f>
        <v>2460</v>
      </c>
      <c r="AR5" s="334">
        <f ca="1">_xlfn.LET(_xlpm.MVToday,DataShift!AV507,         _xlpm.MVY,DataShift!AU507,        _xlpm.MVYY, DataShift!AT507,         _xlpm.MVYYY, DataShift!AS507,                      IF(_xlpm.MVToday=_xlpm.MVY,      _xlpm.MVYY-_xlpm.MVYYY,          _xlpm.MVY-_xlpm.MVYY))</f>
        <v>-13120</v>
      </c>
      <c r="AS5" s="984">
        <f ca="1">TabCalc[[#This Row],[Y]]/TabCalc[[#This Row],[M]]</f>
        <v>2.1624161073825503</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-32.467818779448329</v>
      </c>
      <c r="AY5" s="82">
        <f t="shared" ca="1" si="1"/>
        <v>0</v>
      </c>
      <c r="AZ5" s="90">
        <f ca="1">_xlfn.XLOOKUP(TabCalc[[#This Row],[Ticker]],[1]!RTData[Ticker_Symbol],[1]!RTData[V/VA])</f>
        <v>0.22856548590445105</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0.22856548590445105</v>
      </c>
      <c r="BC5" s="87" cm="1">
        <f t="array" aca="1" ref="BC5" ca="1">INDEX(TabReg[], 1, _xlfn.XMATCH(TabCalc[[#This Row],[Ticker]]&amp;1, TabReg[#Headers], 0))</f>
        <v>400000</v>
      </c>
      <c r="BD5" s="159">
        <f ca="1">TabCalc[[#This Row],[Nbegin]]*TabCalc[[#This Row],[M]]*TabCalc[[#This Row],[Scale]]+TabCalc[[#This Row],[ValueBegin]]</f>
        <v>17033.692999999999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204773.693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23778.964192999993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66.06</v>
      </c>
      <c r="BR5" s="174" t="str">
        <f ca="1">IF(TabCalc[[#This Row],[EfCost]]+TabCalc[[#This Row],[M_V]]&lt;TabCalc[[#This Row],[NoT_GL]],"Pile","")</f>
        <v/>
      </c>
      <c r="BS5" s="165">
        <f ca="1">_xlfn.XLOOKUP(TabCalc[[#This Row],[Ticker]],[1]!RTData[Ticker_Symbol],[1]!RTData[Last trade time])</f>
        <v>45968.691200717185</v>
      </c>
      <c r="BT5" s="175">
        <f ca="1">(TabCalc[[#This Row],[ValueBegin]]+(TabCalc[[#This Row],[M]]-TabCalc[[#This Row],[A]])*TabCalc[[#This Row],[NAfter]])*TabCalc[[#This Row],[Scale]]</f>
        <v>-38821.291876999996</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-3720362.8806999992</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683.99452804377609</v>
      </c>
      <c r="CV5" s="404">
        <f ca="1">IF(TabCalc[[#This Row],[ntoBuy]]*TabCalc[[#This Row],[M]]&lt;=0,0,TabCalc[[#This Row],[ntoBuy]]*TabCalc[[#This Row],[M]])</f>
        <v>30574.555403556795</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-37203.628806999994</v>
      </c>
      <c r="DB5" s="90">
        <f ca="1">IFERROR((TabCalc[[#This Row],[M]]+TabCalc[[#This Row],[L_Bp]])/ABS(TabCalc[[#This Row],[L_Bp]])/(TODAY()-TabCalc[[#This Row],[L_Bdate]])*360,"")</f>
        <v>-0.26315789473684165</v>
      </c>
      <c r="DC5" s="310">
        <f ca="1">MEDIAN(DataShift!F706:Z706)</f>
        <v>6.757E-3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178800</v>
      </c>
      <c r="DF5" s="87" cm="1">
        <f t="array" aca="1" ref="DF5" ca="1">SUMPRODUCT(ISNUMBER(INDIRECT("TabReg["&amp;TabCalc[[#This Row],[Ticker]]&amp;"2]"))* INDIRECT("TabReg["&amp;TabCalc[[#This Row],[Ticker]]&amp;"1]") * INDIRECT("TabReg["&amp;TabCalc[[#This Row],[Ticker]]&amp;"2]") )*TabCalc[[#This Row],[Scale]]</f>
        <v>-342761.03580700001</v>
      </c>
      <c r="DI5" s="87">
        <f ca="1"/>
        <v>4397000</v>
      </c>
      <c r="DJ5" s="90">
        <f t="shared" ca="1" si="2"/>
        <v>0.93010237186824363</v>
      </c>
      <c r="DK5" t="str">
        <f ca="1">_xlfn.XLOOKUP(DI5,TabCalc[Column1],TabCalc[Ticker])</f>
        <v>NFLX</v>
      </c>
      <c r="DL5" s="87">
        <f ca="1">_xlfn.XLOOKUP(DK5,TabCalc[Ticker],TabCalc[ValueBegin])</f>
        <v>-1572600</v>
      </c>
      <c r="DM5" s="87">
        <f ca="1">_xlfn.XLOOKUP(DK5,TabCalc[Ticker],TabCalc[M_V])</f>
        <v>3297750</v>
      </c>
      <c r="DN5" s="87">
        <f ca="1">_xlfn.XLOOKUP(DK5,TabCalc[Ticker],TabCalc[GL])</f>
        <v>1462678.99</v>
      </c>
      <c r="DO5" s="90"/>
      <c r="DP5" s="90"/>
      <c r="DQ5" s="88" t="s">
        <v>2</v>
      </c>
      <c r="DR5" s="82">
        <v>400000</v>
      </c>
      <c r="DS5" s="315">
        <v>-40.441576750000003</v>
      </c>
      <c r="DU5" s="82">
        <v>369000</v>
      </c>
      <c r="DV5" s="82">
        <f ca="1">DU5-TabCalc[[#This Row],[M_V]]</f>
        <v>2460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2934720</v>
      </c>
      <c r="G6" s="82">
        <f ca="1">IFERROR(TabCalc[[#This Row],[SB]]-TabCalc[[#This Row],[SST]],TabCalc[[#This Row],[SB]])</f>
        <v>12000</v>
      </c>
      <c r="H6" s="532" t="str">
        <f ca="1">[1]!RTData[[#This Row],[Ticker_Symbol]]</f>
        <v>AMZN</v>
      </c>
      <c r="I6" s="383">
        <f ca="1">_xlfn.XLOOKUP(TabCalc[[#This Row],[Ticker]],[1]!RTData[Ticker_Symbol],[1]!RTData[M-Price])</f>
        <v>244.56</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6.2539999999999991E-3</v>
      </c>
      <c r="N6" s="1077">
        <v>0</v>
      </c>
      <c r="O6" s="899">
        <f>TabCalc[[#This Row],[Up20]]-1+TabCalc[[#This Row],[Up20]]</f>
        <v>-1</v>
      </c>
      <c r="P6" s="899">
        <f>TabCalc[[#This Row],[Up20]]-TabCalc[[#This Row],[Up150]]</f>
        <v>-0.25</v>
      </c>
      <c r="Q6" s="899">
        <v>0.25</v>
      </c>
      <c r="R6" s="899">
        <f>TabCalc[[#This Row],[Up150]]-1+TabCalc[[#This Row],[Up150]]</f>
        <v>-0.5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59079.999999999985</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15790.000000000005</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-4609.0000000000036</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-5159.9999999999964</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18720</v>
      </c>
      <c r="AQ6" s="334">
        <f ca="1">_xlfn.LET(_xlpm.MVToday,DataShift!AV508,         _xlpm.MVY,DataShift!AU508,        _xlpm.MVYY, DataShift!AT508,                                IF(_xlpm.MVToday=_xlpm.MVY,_xlpm.MVY-_xlpm.MVYY,_xlpm.MVToday-_xlpm.MVY))</f>
        <v>9043.2000000001863</v>
      </c>
      <c r="AR6" s="334">
        <f ca="1">_xlfn.LET(_xlpm.MVToday,DataShift!AV508,         _xlpm.MVY,DataShift!AU508,        _xlpm.MVYY, DataShift!AT508,         _xlpm.MVYYY, DataShift!AS508,                      IF(_xlpm.MVToday=_xlpm.MVY,      _xlpm.MVYY-_xlpm.MVYYY,          _xlpm.MVY-_xlpm.MVYY))</f>
        <v>-76723.200000000186</v>
      </c>
      <c r="AS6" s="984">
        <f ca="1">TabCalc[[#This Row],[Y]]/TabCalc[[#This Row],[M]]</f>
        <v>1.1793592574419365</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-1.1964944736866203</v>
      </c>
      <c r="AY6" s="82">
        <f t="shared" ca="1" si="1"/>
        <v>0</v>
      </c>
      <c r="AZ6" s="90">
        <f ca="1">_xlfn.XLOOKUP(TabCalc[[#This Row],[Ticker]],[1]!RTData[Ticker_Symbol],[1]!RTData[V/VA])</f>
        <v>0.6942070189669548</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0.6942070189669548</v>
      </c>
      <c r="BC6" s="87" cm="1">
        <f t="array" aca="1" ref="BC6" ca="1">INDEX(TabReg[], 1, _xlfn.XMATCH(TabCalc[[#This Row],[Ticker]]&amp;1, TabReg[#Headers], 0))</f>
        <v>8000</v>
      </c>
      <c r="BD6" s="159">
        <f ca="1">TabCalc[[#This Row],[Nbegin]]*TabCalc[[#This Row],[M]]*TabCalc[[#This Row],[Scale]]+TabCalc[[#This Row],[ValueBegin]]</f>
        <v>896080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1874320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972355.78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45968.870781133592</v>
      </c>
      <c r="BT6" s="175">
        <f ca="1">(TabCalc[[#This Row],[ValueBegin]]+(TabCalc[[#This Row],[M]]-TabCalc[[#This Row],[A]])*TabCalc[[#This Row],[NAfter]])*TabCalc[[#This Row],[Scale]]</f>
        <v>-563582.78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496817.21999999991</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169.26201760324989</v>
      </c>
      <c r="CX6" s="405">
        <f ca="1">TabCalc[[#This Row],[ntoSell]]*TabCalc[[#This Row],[M]]</f>
        <v>41394.719025050792</v>
      </c>
      <c r="CY6" s="398">
        <f ca="1">_xlfn.LET(_xlpm.nToSell,IF(TabCalc[[#This Row],[M]]-TabCalc[[#This Row],[A]]&lt;=0,"",INT(DesiredSaleGain/(TabCalc[[#This Row],[M]]-IF(TabCalc[[#This Row],[E]]&gt;0,0,TabCalc[[#This Row],[A]])))),IF(_xlpm.nToSell&lt;=TabCalc[[#This Row],[NAfter]],_xlpm.nToSell,0))</f>
        <v>120</v>
      </c>
      <c r="CZ6" s="336">
        <f ca="1">IFERROR(TabCalc[[#This Row],[NMA]]*TabCalc[[#This Row],[M]],"")</f>
        <v>29347.200000000001</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496817.21999999991</v>
      </c>
      <c r="DB6" s="90">
        <f ca="1">IFERROR((TabCalc[[#This Row],[M]]+TabCalc[[#This Row],[L_Bp]])/ABS(TabCalc[[#This Row],[L_Bp]])/(TODAY()-TabCalc[[#This Row],[L_Bdate]])*360,"")</f>
        <v>0.50467066186534126</v>
      </c>
      <c r="DC6" s="310">
        <f ca="1">MEDIAN(DataShift!F707:Z707)</f>
        <v>6.2539999999999991E-3</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1956480</v>
      </c>
      <c r="DF6" s="87" cm="1">
        <f t="array" aca="1" ref="DF6" ca="1">SUMPRODUCT(ISNUMBER(INDIRECT("TabReg["&amp;TabCalc[[#This Row],[Ticker]]&amp;"2]"))* INDIRECT("TabReg["&amp;TabCalc[[#This Row],[Ticker]]&amp;"1]") * INDIRECT("TabReg["&amp;TabCalc[[#This Row],[Ticker]]&amp;"2]") )*TabCalc[[#This Row],[Scale]]</f>
        <v>-1962364.22</v>
      </c>
      <c r="DI6" s="87">
        <f ca="1"/>
        <v>1956480</v>
      </c>
      <c r="DJ6" s="90">
        <f t="shared" ca="1" si="2"/>
        <v>0.91697074688796687</v>
      </c>
      <c r="DK6" t="str">
        <f ca="1">_xlfn.XLOOKUP(DI6,TabCalc[Column1],TabCalc[Ticker])</f>
        <v>AMZN</v>
      </c>
      <c r="DL6" s="87">
        <f ca="1">_xlfn.XLOOKUP(DK6,TabCalc[Ticker],TabCalc[ValueBegin])</f>
        <v>-1060400</v>
      </c>
      <c r="DM6" s="87">
        <f ca="1">_xlfn.XLOOKUP(DK6,TabCalc[Ticker],TabCalc[M_V])</f>
        <v>2934720</v>
      </c>
      <c r="DN6" s="87">
        <f ca="1">_xlfn.XLOOKUP(DK6,TabCalc[Ticker],TabCalc[GL])</f>
        <v>972355.78</v>
      </c>
      <c r="DO6" s="90"/>
      <c r="DP6" s="90"/>
      <c r="DQ6" s="88" t="s">
        <v>3</v>
      </c>
      <c r="DR6" s="81">
        <v>8000</v>
      </c>
      <c r="DS6" s="315">
        <v>-132.55000000000001</v>
      </c>
      <c r="DU6" s="82">
        <v>2991840</v>
      </c>
      <c r="DV6" s="82">
        <f ca="1">DU6-TabCalc[[#This Row],[M_V]]</f>
        <v>57120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1973400</v>
      </c>
      <c r="G7" s="82">
        <f ca="1">IFERROR(TabCalc[[#This Row],[SB]]-TabCalc[[#This Row],[SST]],TabCalc[[#This Row],[SB]])</f>
        <v>2530000</v>
      </c>
      <c r="H7" s="532" t="str">
        <f ca="1">[1]!RTData[[#This Row],[Ticker_Symbol]]</f>
        <v>ALDNE</v>
      </c>
      <c r="I7" s="383">
        <f ca="1">_xlfn.XLOOKUP(TabCalc[[#This Row],[Ticker]],[1]!RTData[Ticker_Symbol],[1]!RTData[M-Price])</f>
        <v>0.78</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-2.5580000000000004E-3</v>
      </c>
      <c r="N7" s="1077">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-2250.0000000000005</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-6299.9999999999991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0</v>
      </c>
      <c r="AQ7" s="334">
        <f ca="1">_xlfn.LET(_xlpm.MVToday,DataShift!AV509,         _xlpm.MVY,DataShift!AU509,        _xlpm.MVYY, DataShift!AT509,                                IF(_xlpm.MVToday=_xlpm.MVY,_xlpm.MVY-_xlpm.MVYY,_xlpm.MVToday-_xlpm.MVY))</f>
        <v>-5060</v>
      </c>
      <c r="AR7" s="334">
        <f ca="1">_xlfn.LET(_xlpm.MVToday,DataShift!AV509,         _xlpm.MVY,DataShift!AU509,        _xlpm.MVYY, DataShift!AT509,         _xlpm.MVYYY, DataShift!AS509,                      IF(_xlpm.MVToday=_xlpm.MVY,      _xlpm.MVYY-_xlpm.MVYYY,          _xlpm.MVY-_xlpm.MVYY))</f>
        <v>-20240</v>
      </c>
      <c r="AS7" s="984">
        <f ca="1">TabCalc[[#This Row],[Y]]/TabCalc[[#This Row],[M]]</f>
        <v>1.9658076923076924</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-0.3574584375777381</v>
      </c>
      <c r="AY7" s="82">
        <f t="shared" ca="1" si="1"/>
        <v>0</v>
      </c>
      <c r="AZ7" s="90">
        <f ca="1">_xlfn.XLOOKUP(TabCalc[[#This Row],[Ticker]],[1]!RTData[Ticker_Symbol],[1]!RTData[V/VA])</f>
        <v>0.32673879443585779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0.32673879443585779</v>
      </c>
      <c r="BC7" s="87" cm="1">
        <f t="array" aca="1" ref="BC7" ca="1">INDEX(TabReg[], 1, _xlfn.XMATCH(TabCalc[[#This Row],[Ticker]]&amp;1, TabReg[#Headers], 0))</f>
        <v>2448050</v>
      </c>
      <c r="BD7" s="159">
        <f ca="1">TabCalc[[#This Row],[Nbegin]]*TabCalc[[#This Row],[M]]*TabCalc[[#This Row],[Scale]]+TabCalc[[#This Row],[ValueBegin]]</f>
        <v>-949224.63876371691</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-885303.63876371691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-979021.04126371676</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45968.708333333336</v>
      </c>
      <c r="BT7" s="175">
        <f ca="1">(TabCalc[[#This Row],[ValueBegin]]+(TabCalc[[#This Row],[M]]-TabCalc[[#This Row],[A]])*TabCalc[[#This Row],[NAfter]])*TabCalc[[#This Row],[Scale]]</f>
        <v>-3837724.6800274337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-979021.04126371688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-979021.04126371688</v>
      </c>
      <c r="DB7" s="90">
        <f ca="1">IFERROR((TabCalc[[#This Row],[M]]+TabCalc[[#This Row],[L_Bp]])/ABS(TabCalc[[#This Row],[L_Bp]])/(TODAY()-TabCalc[[#This Row],[L_Bdate]])*360,"")</f>
        <v>-0.24813895781637721</v>
      </c>
      <c r="DC7" s="310">
        <f ca="1">MEDIAN(DataShift!F708:Z708)</f>
        <v>0</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1909479</v>
      </c>
      <c r="DF7" s="87" cm="1">
        <f t="array" aca="1" ref="DF7" ca="1">SUMPRODUCT(ISNUMBER(INDIRECT("TabReg["&amp;TabCalc[[#This Row],[Ticker]]&amp;"2]"))* INDIRECT("TabReg["&amp;TabCalc[[#This Row],[Ticker]]&amp;"1]") * INDIRECT("TabReg["&amp;TabCalc[[#This Row],[Ticker]]&amp;"2]") )*TabCalc[[#This Row],[Scale]]</f>
        <v>-2952421.0412637168</v>
      </c>
      <c r="DI7" s="87">
        <f ca="1"/>
        <v>1909479</v>
      </c>
      <c r="DJ7" s="90">
        <f t="shared" ca="1" si="2"/>
        <v>-0.34247028197966928</v>
      </c>
      <c r="DK7" t="str">
        <f ca="1">_xlfn.XLOOKUP(DI7,TabCalc[Column1],TabCalc[Ticker])</f>
        <v>ALDNE</v>
      </c>
      <c r="DL7" s="87">
        <f ca="1">_xlfn.XLOOKUP(DK7,TabCalc[Ticker],TabCalc[ValueBegin])</f>
        <v>-2858703.6387637169</v>
      </c>
      <c r="DM7" s="87">
        <f ca="1">_xlfn.XLOOKUP(DK7,TabCalc[Ticker],TabCalc[M_V])</f>
        <v>1973400</v>
      </c>
      <c r="DN7" s="87">
        <f ca="1">_xlfn.XLOOKUP(DK7,TabCalc[Ticker],TabCalc[GL])</f>
        <v>-979021.04126371676</v>
      </c>
      <c r="DO7" s="90"/>
      <c r="DP7" s="90"/>
      <c r="DQ7" s="88" t="s">
        <v>4</v>
      </c>
      <c r="DR7" s="81">
        <v>2448050</v>
      </c>
      <c r="DS7" s="315">
        <v>-1.1677472432195899</v>
      </c>
      <c r="DU7" s="82">
        <v>1993640</v>
      </c>
      <c r="DV7" s="82">
        <f ca="1">DU7-TabCalc[[#This Row],[M_V]]</f>
        <v>20240</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2699480</v>
      </c>
      <c r="G8" s="82">
        <f ca="1">IFERROR(TabCalc[[#This Row],[SB]]-TabCalc[[#This Row],[SST]],TabCalc[[#This Row],[SB]])</f>
        <v>3100</v>
      </c>
      <c r="H8" s="532" t="str">
        <f ca="1">[1]!RTData[[#This Row],[Ticker_Symbol]]</f>
        <v>ASML</v>
      </c>
      <c r="I8" s="383">
        <f ca="1">_xlfn.XLOOKUP(TabCalc[[#This Row],[Ticker]],[1]!RTData[Ticker_Symbol],[1]!RTData[M-Price])</f>
        <v>870.8</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-2.7365E-2</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0.18763237100931038</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11379.999999999996</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13179.999999999996</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3945.0000000000045</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2395.0000000000045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-87420</v>
      </c>
      <c r="AQ8" s="334">
        <f ca="1">_xlfn.LET(_xlpm.MVToday,DataShift!AV510,         _xlpm.MVY,DataShift!AU510,        _xlpm.MVYY, DataShift!AT510,                                IF(_xlpm.MVToday=_xlpm.MVY,_xlpm.MVY-_xlpm.MVYY,_xlpm.MVToday-_xlpm.MVY))</f>
        <v>-75950</v>
      </c>
      <c r="AR8" s="334">
        <f ca="1">_xlfn.LET(_xlpm.MVToday,DataShift!AV510,         _xlpm.MVY,DataShift!AU510,        _xlpm.MVYY, DataShift!AT510,         _xlpm.MVYYY, DataShift!AS510,                      IF(_xlpm.MVToday=_xlpm.MVY,      _xlpm.MVYY-_xlpm.MVYYY,          _xlpm.MVY-_xlpm.MVYY))</f>
        <v>-488330</v>
      </c>
      <c r="AS8" s="984">
        <f ca="1">TabCalc[[#This Row],[Y]]/TabCalc[[#This Row],[M]]</f>
        <v>1.08165280202113</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-0.4382720940213648</v>
      </c>
      <c r="AY8" s="82">
        <f t="shared" ca="1" si="1"/>
        <v>0</v>
      </c>
      <c r="AZ8" s="90">
        <f ca="1">_xlfn.XLOOKUP(TabCalc[[#This Row],[Ticker]],[1]!RTData[Ticker_Symbol],[1]!RTData[V/VA])</f>
        <v>1.4227731762002704</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1.4227731762002704</v>
      </c>
      <c r="BC8" s="87" cm="1">
        <f t="array" aca="1" ref="BC8" ca="1">INDEX(TabReg[], 1, _xlfn.XMATCH(TabCalc[[#This Row],[Ticker]]&amp;1, TabReg[#Headers], 0))</f>
        <v>500</v>
      </c>
      <c r="BD8" s="159">
        <f ca="1">TabCalc[[#This Row],[Nbegin]]*TabCalc[[#This Row],[M]]*TabCalc[[#This Row],[Scale]]+TabCalc[[#This Row],[ValueBegin]]</f>
        <v>-12650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2251430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782160.81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1015.48</v>
      </c>
      <c r="BR8" s="174" t="str">
        <f ca="1">IF(TabCalc[[#This Row],[EfCost]]+TabCalc[[#This Row],[M_V]]&lt;TabCalc[[#This Row],[NoT_GL]],"Pile","")</f>
        <v/>
      </c>
      <c r="BS8" s="165">
        <f ca="1">_xlfn.XLOOKUP(TabCalc[[#This Row],[Ticker]],[1]!RTData[Ticker_Symbol],[1]!RTData[Last trade time])</f>
        <v>45968.708333333336</v>
      </c>
      <c r="BT8" s="175">
        <f ca="1">(TabCalc[[#This Row],[ValueBegin]]+(TabCalc[[#This Row],[M]]-TabCalc[[#This Row],[A]])*TabCalc[[#This Row],[NAfter]])*TabCalc[[#This Row],[Scale]]</f>
        <v>207475.99999999977</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655525.99999999977</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126.74271229404295</v>
      </c>
      <c r="CV8" s="404">
        <f ca="1">IF(TabCalc[[#This Row],[ntoBuy]]*TabCalc[[#This Row],[M]]&lt;=0,0,TabCalc[[#This Row],[ntoBuy]]*TabCalc[[#This Row],[M]])</f>
        <v>110367.55386565259</v>
      </c>
      <c r="CW8" s="404">
        <f ca="1">IF(TabCalc[[#This Row],[M]]&gt;ABS(TabCalc[[#This Row],[L_Bp]]),MIN(TabCalc[[#This Row],[NAfter]],DesiredSaleGain/(TabCalc[[#This Row],[M]]+TabCalc[[#This Row],[L_Bp]])),0)/TabCalc[[#This Row],[Scale]]</f>
        <v>87.873462214411276</v>
      </c>
      <c r="CX8" s="405">
        <f ca="1">TabCalc[[#This Row],[ntoSell]]*TabCalc[[#This Row],[M]]</f>
        <v>76520.210896309334</v>
      </c>
      <c r="CY8" s="398">
        <f ca="1">_xlfn.LET(_xlpm.nToSell,IF(TabCalc[[#This Row],[M]]-TabCalc[[#This Row],[A]]&lt;=0,"",INT(DesiredSaleGain/(TabCalc[[#This Row],[M]]-IF(TabCalc[[#This Row],[E]]&gt;0,0,TabCalc[[#This Row],[A]])))),IF(_xlpm.nToSell&lt;=TabCalc[[#This Row],[NAfter]],_xlpm.nToSell,0))</f>
        <v>23</v>
      </c>
      <c r="CZ8" s="336">
        <f ca="1">IFERROR(TabCalc[[#This Row],[NMA]]*TabCalc[[#This Row],[M]],"")</f>
        <v>20028.399999999998</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655525.99999999977</v>
      </c>
      <c r="DB8" s="90">
        <f ca="1">IFERROR((TabCalc[[#This Row],[M]]+TabCalc[[#This Row],[L_Bp]])/ABS(TabCalc[[#This Row],[L_Bp]])/(TODAY()-TabCalc[[#This Row],[L_Bdate]])*360,"")</f>
        <v>0.89884682217892653</v>
      </c>
      <c r="DC8" s="310">
        <f ca="1">MEDIAN(DataShift!F709:Z709)</f>
        <v>-1.9380000000000001E-3</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435400</v>
      </c>
      <c r="DF8" s="87" cm="1">
        <f t="array" aca="1" ref="DF8" ca="1">SUMPRODUCT(ISNUMBER(INDIRECT("TabReg["&amp;TabCalc[[#This Row],[Ticker]]&amp;"2]"))* INDIRECT("TabReg["&amp;TabCalc[[#This Row],[Ticker]]&amp;"1]") * INDIRECT("TabReg["&amp;TabCalc[[#This Row],[Ticker]]&amp;"2]") )*TabCalc[[#This Row],[Scale]]</f>
        <v>-1917319.19</v>
      </c>
      <c r="DI8" s="87">
        <f ca="1"/>
        <v>1831000</v>
      </c>
      <c r="DJ8" s="90">
        <f t="shared" ca="1" si="2"/>
        <v>1.4424212319745224</v>
      </c>
      <c r="DK8" t="str">
        <f ca="1">_xlfn.XLOOKUP(DI8,TabCalc[Column1],TabCalc[Ticker])</f>
        <v>IAG</v>
      </c>
      <c r="DL8" s="87">
        <f ca="1">_xlfn.XLOOKUP(DK8,TabCalc[Ticker],TabCalc[ValueBegin])</f>
        <v>-785000</v>
      </c>
      <c r="DM8" s="87">
        <f ca="1">_xlfn.XLOOKUP(DK8,TabCalc[Ticker],TabCalc[M_V])</f>
        <v>402820</v>
      </c>
      <c r="DN8" s="87">
        <f ca="1">_xlfn.XLOOKUP(DK8,TabCalc[Ticker],TabCalc[GL])</f>
        <v>1132300.6671000002</v>
      </c>
      <c r="DO8" s="90"/>
      <c r="DP8" s="90"/>
      <c r="DQ8" s="88" t="s">
        <v>5</v>
      </c>
      <c r="DR8" s="81">
        <v>5000</v>
      </c>
      <c r="DS8" s="315">
        <v>-54.11</v>
      </c>
      <c r="DU8" s="82">
        <v>3304800</v>
      </c>
      <c r="DV8" s="82">
        <f ca="1">DU8-TabCalc[[#This Row],[M_V]]</f>
        <v>605320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138954</v>
      </c>
      <c r="G9" s="82">
        <f ca="1">IFERROR(TabCalc[[#This Row],[SB]]-TabCalc[[#This Row],[SST]],TabCalc[[#This Row],[SB]])</f>
        <v>400</v>
      </c>
      <c r="H9" s="1095" t="str">
        <f ca="1">[1]!RTData[[#This Row],[Ticker_Symbol]]</f>
        <v>AVGO</v>
      </c>
      <c r="I9" s="1096">
        <f ca="1">_xlfn.XLOOKUP(TabCalc[[#This Row],[Ticker]],[1]!RTData[Ticker_Symbol],[1]!RTData[M-Price])</f>
        <v>347.38499999999999</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-2.3073999999999997E-2</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-0.11407607187908736</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3308.5499999999993</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34550.200008</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-207.20000000000255</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-18237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-2718</v>
      </c>
      <c r="AQ9" s="334">
        <f ca="1">_xlfn.LET(_xlpm.MVToday,DataShift!AV511,         _xlpm.MVY,DataShift!AU512,        _xlpm.MVYY, DataShift!AT512,                                IF(_xlpm.MVToday=_xlpm.MVY,_xlpm.MVY-_xlpm.MVYY,_xlpm.MVToday-_xlpm.MVY))</f>
        <v>96676.5</v>
      </c>
      <c r="AR9" s="334">
        <f ca="1">_xlfn.LET(_xlpm.MVToday,DataShift!AV511,         _xlpm.MVY,DataShift!AU512,        _xlpm.MVYY, DataShift!AT512,         _xlpm.MVYYY, DataShift!AS512,                      IF(_xlpm.MVToday=_xlpm.MVY,      _xlpm.MVYY-_xlpm.MVYYY,          _xlpm.MVY-_xlpm.MVYY))</f>
        <v>430</v>
      </c>
      <c r="AS9" s="984">
        <f ca="1">TabCalc[[#This Row],[Y]]/TabCalc[[#This Row],[M]]</f>
        <v>1.1295296285101544</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-0.66837591921975203</v>
      </c>
      <c r="AY9" s="82">
        <f ca="1">IF(G9&lt;C9,C9-G9,0)</f>
        <v>0</v>
      </c>
      <c r="AZ9" s="90">
        <f ca="1">_xlfn.XLOOKUP(TabCalc[[#This Row],[Ticker]],[1]!RTData[Ticker_Symbol],[1]!RTData[V/VA])</f>
        <v>0.80981317518787777</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0.80981317518787777</v>
      </c>
      <c r="BC9" s="87" cm="1">
        <f t="array" aca="1" ref="BC9" ca="1">INDEX(TabReg[], 1, _xlfn.XMATCH(TabCalc[[#This Row],[Ticker]]&amp;1, TabReg[#Headers], 0))</f>
        <v>190</v>
      </c>
      <c r="BD9" s="159">
        <f ca="1">TabCalc[[#This Row],[Nbegin]]*TabCalc[[#This Row],[M]]*TabCalc[[#This Row],[Scale]]+TabCalc[[#This Row],[ValueBegin]]</f>
        <v>45169.3992</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118120.24920000001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71513.375207999969</v>
      </c>
      <c r="BM9" s="159">
        <f ca="1">IF(        OR( TabCalc[[#This Row],[GL]]&gt;ABS(TabCalc[[#This Row],[EfCost]]),TabCalc[[#This Row],[NAfter]]=0),             TabCalc[[#This Row],[GL]],     0)</f>
        <v>71513.375207999969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45968.87078530078</v>
      </c>
      <c r="BT9" s="175">
        <f ca="1">(TabCalc[[#This Row],[ValueBegin]]+(TabCalc[[#This Row],[M]]-TabCalc[[#This Row],[A]])*TabCalc[[#This Row],[NAfter]])*TabCalc[[#This Row],[Scale]]</f>
        <v>9827.0408729999945</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30660.791672999992</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317.35956839098708</v>
      </c>
      <c r="CX9" s="405">
        <f ca="1">TabCalc[[#This Row],[ntoSell]]*TabCalc[[#This Row],[M]]</f>
        <v>110245.95366550304</v>
      </c>
      <c r="CY9" s="398">
        <f ca="1">_xlfn.LET(_xlpm.nToSell,IF(TabCalc[[#This Row],[M]]-TabCalc[[#This Row],[A]]&lt;=0,"",INT(DesiredSaleGain/(TabCalc[[#This Row],[M]]-IF(TabCalc[[#This Row],[E]]&gt;0,0,TabCalc[[#This Row],[A]])))),IF(_xlpm.nToSell&lt;=TabCalc[[#This Row],[NAfter]],_xlpm.nToSell,0))</f>
        <v>65</v>
      </c>
      <c r="CZ9" s="1103">
        <f ca="1">IFERROR(TabCalc[[#This Row],[NMA]]*TabCalc[[#This Row],[M]],"")</f>
        <v>22580.024999999998</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30660.791672999992</v>
      </c>
      <c r="DB9" s="90">
        <f ca="1">IFERROR((TabCalc[[#This Row],[M]]+TabCalc[[#This Row],[L_Bp]])/ABS(TabCalc[[#This Row],[L_Bp]])/(TODAY()-TabCalc[[#This Row],[L_Bdate]])*360,"")</f>
        <v>0.61081411728216883</v>
      </c>
      <c r="DC9" s="310">
        <f ca="1">MEDIAN(DataShift!F711:Z711)</f>
        <v>-2.366E-4</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66003.149999999994</v>
      </c>
      <c r="DF9" s="87" cm="1">
        <f t="array" aca="1" ref="DF9" ca="1">SUMPRODUCT(ISNUMBER(INDIRECT("TabReg["&amp;TabCalc[[#This Row],[Ticker]]&amp;"2]"))* INDIRECT("TabReg["&amp;TabCalc[[#This Row],[Ticker]]&amp;"1]") * INDIRECT("TabReg["&amp;TabCalc[[#This Row],[Ticker]]&amp;"2]") )*TabCalc[[#This Row],[Scale]]</f>
        <v>-67440.624792000031</v>
      </c>
      <c r="DI9" s="87">
        <f ca="1"/>
        <v>1339985</v>
      </c>
      <c r="DJ9" s="90">
        <f t="shared" ca="1" si="2"/>
        <v>2.108848641354923</v>
      </c>
      <c r="DK9" t="str">
        <f ca="1">_xlfn.XLOOKUP(DI9,TabCalc[Column1],TabCalc[Ticker])</f>
        <v>AAPL</v>
      </c>
      <c r="DL9" s="87">
        <f ca="1">_xlfn.XLOOKUP(DK9,TabCalc[Ticker],TabCalc[ValueBegin])</f>
        <v>-537300</v>
      </c>
      <c r="DM9" s="87">
        <f ca="1">_xlfn.XLOOKUP(DK9,TabCalc[Ticker],TabCalc[M_V])</f>
        <v>2545971.5</v>
      </c>
      <c r="DN9" s="87">
        <f ca="1">_xlfn.XLOOKUP(DK9,TabCalc[Ticker],TabCalc[GL])</f>
        <v>1133084.3750000002</v>
      </c>
      <c r="DO9" s="90"/>
      <c r="DP9" s="90"/>
      <c r="DQ9" s="88" t="s">
        <v>6</v>
      </c>
      <c r="DR9" s="81">
        <v>10000</v>
      </c>
      <c r="DS9" s="315">
        <v>-2.69</v>
      </c>
      <c r="DU9" s="82">
        <v>140776</v>
      </c>
      <c r="DV9" s="82">
        <f ca="1">DU9-TabCalc[[#This Row],[M_V]]</f>
        <v>1822</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42277.5</v>
      </c>
      <c r="G10" s="82">
        <f ca="1">IFERROR(TabCalc[[#This Row],[SB]]-TabCalc[[#This Row],[SST]],TabCalc[[#This Row],[SB]])</f>
        <v>500</v>
      </c>
      <c r="H10" s="1095" t="str">
        <f ca="1">[1]!RTData[[#This Row],[Ticker_Symbol]]</f>
        <v>AZN</v>
      </c>
      <c r="I10" s="1096">
        <f ca="1">_xlfn.XLOOKUP(TabCalc[[#This Row],[Ticker]],[1]!RTData[Ticker_Symbol],[1]!RTData[M-Price])</f>
        <v>84.555000000000007</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9.3710000000000009E-3</v>
      </c>
      <c r="N10" s="1098">
        <v>0</v>
      </c>
      <c r="O10" s="1099">
        <f>TabCalc[[#This Row],[Up20]]-1+TabCalc[[#This Row],[Up20]]</f>
        <v>-1</v>
      </c>
      <c r="P10" s="1099">
        <f>TabCalc[[#This Row],[Up20]]-TabCalc[[#This Row],[Up150]]</f>
        <v>-0.5714285714285714</v>
      </c>
      <c r="Q10" s="1099">
        <v>0.5714285714285714</v>
      </c>
      <c r="R10" s="1099">
        <f>TabCalc[[#This Row],[Up150]]-1+TabCalc[[#This Row],[Up150]]</f>
        <v>0.14285714285714279</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2.043969126700353E-2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7357.5000000000018</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3442.5000000000027</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832.49999999999602</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-10090.000000000004</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22.5</v>
      </c>
      <c r="AQ10" s="334">
        <f ca="1">_xlfn.LET(_xlpm.MVToday,DataShift!AV512,         _xlpm.MVY,DataShift!AU513,        _xlpm.MVYY, DataShift!AT513,                                IF(_xlpm.MVToday=_xlpm.MVY,_xlpm.MVY-_xlpm.MVYY,_xlpm.MVToday-_xlpm.MVY))</f>
        <v>-27422.5</v>
      </c>
      <c r="AR10" s="334">
        <f ca="1">_xlfn.LET(_xlpm.MVToday,DataShift!AV512,         _xlpm.MVY,DataShift!AU513,        _xlpm.MVYY, DataShift!AT513,         _xlpm.MVYYY, DataShift!AS513,                      IF(_xlpm.MVToday=_xlpm.MVY,      _xlpm.MVYY-_xlpm.MVYYY,          _xlpm.MVY-_xlpm.MVYY))</f>
        <v>-1700</v>
      </c>
      <c r="AS10" s="984">
        <f ca="1">TabCalc[[#This Row],[Y]]/TabCalc[[#This Row],[M]]</f>
        <v>1.1028647625805688</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-8.3448189209931606E-2</v>
      </c>
      <c r="AY10" s="82">
        <f ca="1">IF(G10&lt;C10,C10-G10,0)</f>
        <v>4500</v>
      </c>
      <c r="AZ10" s="90">
        <f ca="1">_xlfn.XLOOKUP(TabCalc[[#This Row],[Ticker]],[1]!RTData[Ticker_Symbol],[1]!RTData[V/VA])</f>
        <v>0.66882833672373876</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0.66882833672373876</v>
      </c>
      <c r="BC10" s="87" cm="1">
        <f t="array" aca="1" ref="BC10" ca="1">INDEX(TabReg[], 1, _xlfn.XMATCH(TabCalc[[#This Row],[Ticker]]&amp;1, TabReg[#Headers], 0))</f>
        <v>5000</v>
      </c>
      <c r="BD10" s="159">
        <f ca="1">TabCalc[[#This Row],[Nbegin]]*TabCalc[[#This Row],[M]]*TabCalc[[#This Row],[Scale]]+TabCalc[[#This Row],[ValueBegin]]</f>
        <v>152225.00000000006</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-228272.5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150611.89999999997</v>
      </c>
      <c r="BM10" s="159">
        <f ca="1">IF(        OR( TabCalc[[#This Row],[GL]]&gt;ABS(TabCalc[[#This Row],[EfCost]]),TabCalc[[#This Row],[NAfter]]=0),             TabCalc[[#This Row],[GL]],     0)</f>
        <v>150611.89999999997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4" t="str">
        <f ca="1">IF(TabCalc[[#This Row],[EfCost]]+TabCalc[[#This Row],[M_V]]&lt;TabCalc[[#This Row],[NoT_GL]],"Pile","")</f>
        <v>Pile</v>
      </c>
      <c r="BS10" s="165">
        <f ca="1">_xlfn.XLOOKUP(TabCalc[[#This Row],[Ticker]],[1]!RTData[Ticker_Symbol],[1]!RTData[Last trade time])</f>
        <v>45968.870767441404</v>
      </c>
      <c r="BT10" s="175">
        <f ca="1">(TabCalc[[#This Row],[ValueBegin]]+(TabCalc[[#This Row],[M]]-TabCalc[[#This Row],[A]])*TabCalc[[#This Row],[NAfter]])*TabCalc[[#This Row],[Scale]]</f>
        <v>-263192.5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7357.5000000000018</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3003.0030030030175</v>
      </c>
      <c r="CV10" s="404">
        <f ca="1">IF(TabCalc[[#This Row],[ntoBuy]]*TabCalc[[#This Row],[M]]&lt;=0,0,TabCalc[[#This Row],[ntoBuy]]*TabCalc[[#This Row],[M]])</f>
        <v>253918.91891892016</v>
      </c>
      <c r="CW10" s="404">
        <f ca="1">IF(TabCalc[[#This Row],[M]]&gt;ABS(TabCalc[[#This Row],[L_Bp]]),MIN(TabCalc[[#This Row],[NAfter]],DesiredSaleGain/(TabCalc[[#This Row],[M]]+TabCalc[[#This Row],[L_Bp]])),0)/TabCalc[[#This Row],[Scale]]</f>
        <v>339.78933061501863</v>
      </c>
      <c r="CX10" s="405">
        <f ca="1">TabCalc[[#This Row],[ntoSell]]*TabCalc[[#This Row],[M]]</f>
        <v>28730.886850152903</v>
      </c>
      <c r="CY10" s="398">
        <f ca="1">_xlfn.LET(_xlpm.nToSell,IF(TabCalc[[#This Row],[M]]-TabCalc[[#This Row],[A]]&lt;=0,"",INT(DesiredSaleGain/(TabCalc[[#This Row],[M]]-IF(TabCalc[[#This Row],[E]]&gt;0,0,TabCalc[[#This Row],[A]])))),IF(_xlpm.nToSell&lt;=TabCalc[[#This Row],[NAfter]],_xlpm.nToSell,0))</f>
        <v>339</v>
      </c>
      <c r="CZ10" s="1103">
        <f ca="1">IFERROR(TabCalc[[#This Row],[NMA]]*TabCalc[[#This Row],[M]],"")</f>
        <v>28664.145000000004</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7357.5000000000018</v>
      </c>
      <c r="DB10" s="90">
        <f ca="1">IFERROR((TabCalc[[#This Row],[M]]+TabCalc[[#This Row],[L_Bp]])/ABS(TabCalc[[#This Row],[L_Bp]])/(TODAY()-TabCalc[[#This Row],[L_Bdate]])*360,"")</f>
        <v>0.54178939617083954</v>
      </c>
      <c r="DC10" s="310">
        <f ca="1">MEDIAN(DataShift!F712:Z712)</f>
        <v>-1.0899000000000001E-2</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422775.00000000006</v>
      </c>
      <c r="DF10" s="87" cm="1">
        <f t="array" aca="1" ref="DF10" ca="1">SUMPRODUCT(ISNUMBER(INDIRECT("TabReg["&amp;TabCalc[[#This Row],[Ticker]]&amp;"2]"))* INDIRECT("TabReg["&amp;TabCalc[[#This Row],[Ticker]]&amp;"1]") * INDIRECT("TabReg["&amp;TabCalc[[#This Row],[Ticker]]&amp;"2]") )*TabCalc[[#This Row],[Scale]]</f>
        <v>108334.39999999997</v>
      </c>
      <c r="DI10" s="87">
        <f ca="1"/>
        <v>1287300</v>
      </c>
      <c r="DJ10" s="90">
        <f t="shared" ca="1" si="2"/>
        <v>3.577577216084326E-2</v>
      </c>
      <c r="DK10" t="str">
        <f ca="1">_xlfn.XLOOKUP(DI10,TabCalc[Column1],TabCalc[Ticker])</f>
        <v>RWE</v>
      </c>
      <c r="DL10" s="87">
        <f ca="1">_xlfn.XLOOKUP(DK10,TabCalc[Ticker],TabCalc[ValueBegin])</f>
        <v>-1014062.0399999999</v>
      </c>
      <c r="DM10" s="87">
        <f ca="1">_xlfn.XLOOKUP(DK10,TabCalc[Ticker],TabCalc[M_V])</f>
        <v>2145.5</v>
      </c>
      <c r="DN10" s="87">
        <f ca="1">_xlfn.XLOOKUP(DK10,TabCalc[Ticker],TabCalc[GL])</f>
        <v>36278.852499999921</v>
      </c>
      <c r="DO10" s="90"/>
      <c r="DP10" s="90"/>
      <c r="DQ10" s="88" t="s">
        <v>7</v>
      </c>
      <c r="DR10" s="81">
        <v>15000</v>
      </c>
      <c r="DS10" s="315">
        <v>-6.9032</v>
      </c>
      <c r="DU10" s="82">
        <v>41015</v>
      </c>
      <c r="DV10" s="82">
        <f ca="1">DU10-TabCalc[[#This Row],[M_V]]</f>
        <v>-1262.5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69700</v>
      </c>
      <c r="G11" s="82">
        <f ca="1">IFERROR(TabCalc[[#This Row],[SB]]-TabCalc[[#This Row],[SST]],TabCalc[[#This Row],[SB]])</f>
        <v>20000</v>
      </c>
      <c r="H11" s="532" t="str">
        <f ca="1">[1]!RTData[[#This Row],[Ticker_Symbol]]</f>
        <v>BLDP</v>
      </c>
      <c r="I11" s="383">
        <f ca="1">_xlfn.XLOOKUP(TabCalc[[#This Row],[Ticker]],[1]!RTData[Ticker_Symbol],[1]!RTData[M-Price])</f>
        <v>3.4849999999999999</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-1.831E-2</v>
      </c>
      <c r="N11" s="1077">
        <v>0</v>
      </c>
      <c r="O11" s="899">
        <f>TabCalc[[#This Row],[Up20]]-1+TabCalc[[#This Row],[Up20]]</f>
        <v>-1</v>
      </c>
      <c r="P11" s="899">
        <f>TabCalc[[#This Row],[Up20]]-TabCalc[[#This Row],[Up150]]</f>
        <v>-0.4</v>
      </c>
      <c r="Q11" s="899">
        <v>0.4</v>
      </c>
      <c r="R11" s="899">
        <f>TabCalc[[#This Row],[Up150]]-1+TabCalc[[#This Row],[Up150]]</f>
        <v>-0.19999999999999996</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-0.11407607187908736</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3809.9999999999986</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16549.999999999996</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-809.40000000000009</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-15250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1500</v>
      </c>
      <c r="AQ11" s="334">
        <f ca="1">_xlfn.LET(_xlpm.MVToday,DataShift!AV511,         _xlpm.MVY,DataShift!AU512,        _xlpm.MVYY, DataShift!AT512,                                IF(_xlpm.MVToday=_xlpm.MVY,_xlpm.MVY-_xlpm.MVYY,_xlpm.MVToday-_xlpm.MVY))</f>
        <v>96676.5</v>
      </c>
      <c r="AR11" s="334">
        <f ca="1">_xlfn.LET(_xlpm.MVToday,DataShift!AV511,         _xlpm.MVY,DataShift!AU512,        _xlpm.MVYY, DataShift!AT512,         _xlpm.MVYYY, DataShift!AS512,                      IF(_xlpm.MVToday=_xlpm.MVY,      _xlpm.MVYY-_xlpm.MVYYY,          _xlpm.MVY-_xlpm.MVYY))</f>
        <v>430</v>
      </c>
      <c r="AS11" s="984">
        <f ca="1">TabCalc[[#This Row],[Y]]/TabCalc[[#This Row],[M]]</f>
        <v>0.78909612625538028</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4.1431107343158975E-2</v>
      </c>
      <c r="AY11" s="82">
        <f t="shared" ca="1" si="1"/>
        <v>0</v>
      </c>
      <c r="AZ11" s="90">
        <f ca="1">_xlfn.XLOOKUP(TabCalc[[#This Row],[Ticker]],[1]!RTData[Ticker_Symbol],[1]!RTData[V/VA])</f>
        <v>0.67292193067776529</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0.67292193067776529</v>
      </c>
      <c r="BC11" s="87" cm="1">
        <f t="array" aca="1" ref="BC11" ca="1">INDEX(TabReg[], 1, _xlfn.XMATCH(TabCalc[[#This Row],[Ticker]]&amp;1, TabReg[#Headers], 0))</f>
        <v>10000</v>
      </c>
      <c r="BD11" s="159">
        <f ca="1">TabCalc[[#This Row],[Nbegin]]*TabCalc[[#This Row],[M]]*TabCalc[[#This Row],[Scale]]+TabCalc[[#This Row],[ValueBegin]]</f>
        <v>7950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42800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38016.18499999999</v>
      </c>
      <c r="BM11" s="159">
        <f ca="1">IF(        OR( TabCalc[[#This Row],[GL]]&gt;ABS(TabCalc[[#This Row],[EfCost]]),TabCalc[[#This Row],[NAfter]]=0),             TabCalc[[#This Row],[GL]],     0)</f>
        <v>38016.18499999999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4" t="str">
        <f ca="1">IF(TabCalc[[#This Row],[EfCost]]+TabCalc[[#This Row],[M_V]]&lt;TabCalc[[#This Row],[NoT_GL]],"Pile","")</f>
        <v/>
      </c>
      <c r="BS11" s="165">
        <f ca="1">_xlfn.XLOOKUP(TabCalc[[#This Row],[Ticker]],[1]!RTData[Ticker_Symbol],[1]!RTData[Last trade time])</f>
        <v>45968.870794849216</v>
      </c>
      <c r="BT11" s="175">
        <f ca="1">(TabCalc[[#This Row],[ValueBegin]]+(TabCalc[[#This Row],[M]]-TabCalc[[#This Row],[A]])*TabCalc[[#This Row],[NAfter]])*TabCalc[[#This Row],[Scale]]</f>
        <v>-80.000000000003638</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26819.999999999996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0</v>
      </c>
      <c r="CV11" s="404">
        <f ca="1">IF(TabCalc[[#This Row],[ntoBuy]]*TabCalc[[#This Row],[M]]&lt;=0,0,TabCalc[[#This Row],[ntoBuy]]*TabCalc[[#This Row],[M]])</f>
        <v>0</v>
      </c>
      <c r="CW11" s="404">
        <f ca="1">IF(TabCalc[[#This Row],[M]]&gt;ABS(TabCalc[[#This Row],[L_Bp]]),MIN(TabCalc[[#This Row],[NAfter]],DesiredSaleGain/(TabCalc[[#This Row],[M]]+TabCalc[[#This Row],[L_Bp]])),0)/TabCalc[[#This Row],[Scale]]</f>
        <v>7874.0157480314983</v>
      </c>
      <c r="CX11" s="405">
        <f ca="1">TabCalc[[#This Row],[ntoSell]]*TabCalc[[#This Row],[M]]</f>
        <v>27440.944881889769</v>
      </c>
      <c r="CY11" s="398">
        <f ca="1">_xlfn.LET(_xlpm.nToSell,IF(TabCalc[[#This Row],[M]]-TabCalc[[#This Row],[A]]&lt;=0,"",INT(DesiredSaleGain/(TabCalc[[#This Row],[M]]-IF(TabCalc[[#This Row],[E]]&gt;0,0,TabCalc[[#This Row],[A]])))),IF(_xlpm.nToSell&lt;=TabCalc[[#This Row],[NAfter]],_xlpm.nToSell,0))</f>
        <v>3728</v>
      </c>
      <c r="CZ11" s="336">
        <f ca="1">IFERROR(TabCalc[[#This Row],[NMA]]*TabCalc[[#This Row],[M]],"")</f>
        <v>12992.08</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26819.999999999996</v>
      </c>
      <c r="DB11" s="90">
        <f ca="1">IFERROR((TabCalc[[#This Row],[M]]+TabCalc[[#This Row],[L_Bp]])/ABS(TabCalc[[#This Row],[L_Bp]])/(TODAY()-TabCalc[[#This Row],[L_Bdate]])*360,"")</f>
        <v>0.2638504155124653</v>
      </c>
      <c r="DC11" s="310">
        <f ca="1">MEDIAN(DataShift!F711:Z711)</f>
        <v>-2.366E-4</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34850</v>
      </c>
      <c r="DF11" s="87" cm="1">
        <f t="array" aca="1" ref="DF11" ca="1">SUMPRODUCT(ISNUMBER(INDIRECT("TabReg["&amp;TabCalc[[#This Row],[Ticker]]&amp;"2]"))* INDIRECT("TabReg["&amp;TabCalc[[#This Row],[Ticker]]&amp;"1]") * INDIRECT("TabReg["&amp;TabCalc[[#This Row],[Ticker]]&amp;"2]") )*TabCalc[[#This Row],[Scale]]</f>
        <v>-31683.81500000001</v>
      </c>
      <c r="DI11" s="87">
        <f ca="1"/>
        <v>1250250</v>
      </c>
      <c r="DJ11" s="90">
        <f t="shared" ca="1" si="2"/>
        <v>4.1365430395356979</v>
      </c>
      <c r="DK11" t="str">
        <f ca="1">_xlfn.XLOOKUP(DI11,TabCalc[Column1],TabCalc[Ticker])</f>
        <v>NEM</v>
      </c>
      <c r="DL11" s="87">
        <f ca="1">_xlfn.XLOOKUP(DK11,TabCalc[Ticker],TabCalc[ValueBegin])</f>
        <v>-286571.39999999997</v>
      </c>
      <c r="DM11" s="87">
        <f ca="1">_xlfn.XLOOKUP(DK11,TabCalc[Ticker],TabCalc[M_V])</f>
        <v>1667000</v>
      </c>
      <c r="DN11" s="87">
        <f ca="1">_xlfn.XLOOKUP(DK11,TabCalc[Ticker],TabCalc[GL])</f>
        <v>1185414.9300000002</v>
      </c>
      <c r="DO11" s="90"/>
      <c r="DP11" s="90"/>
      <c r="DQ11" s="88" t="s">
        <v>8</v>
      </c>
      <c r="DR11" s="81">
        <v>100</v>
      </c>
      <c r="DS11" s="315">
        <v>-49.07</v>
      </c>
      <c r="DU11" s="82">
        <v>67400</v>
      </c>
      <c r="DV11" s="82">
        <f ca="1">DU11-TabCalc[[#This Row],[M_V]]</f>
        <v>-2300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31218.75</v>
      </c>
      <c r="G12" s="82">
        <f ca="1">IFERROR(TabCalc[[#This Row],[SB]]-TabCalc[[#This Row],[SST]],TabCalc[[#This Row],[SB]])</f>
        <v>12500</v>
      </c>
      <c r="H12" s="532" t="str">
        <f ca="1">[1]!RTData[[#This Row],[Ticker_Symbol]]</f>
        <v>BMRA</v>
      </c>
      <c r="I12" s="383">
        <f ca="1">_xlfn.XLOOKUP(TabCalc[[#This Row],[Ticker]],[1]!RTData[Ticker_Symbol],[1]!RTData[M-Price])</f>
        <v>2.4975000000000001</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-2.0588000000000002E-2</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2.043969126700353E-2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-63,662 = $ -158,996</v>
      </c>
      <c r="Z12" s="211">
        <f ca="1">MIN(TabCalc[[#This Row],[L_Bn]],TabCalc[[#This Row],[NAfter]])*(TabCalc[[#This Row],[M]]+TabCalc[[#This Row],[L_Bp]])*TabCalc[[#This Row],[Scale]]</f>
        <v>-127776.24999999999</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343.74999999999636</v>
      </c>
      <c r="AQ12" s="334">
        <f ca="1">_xlfn.LET(_xlpm.MVToday,DataShift!AV512,         _xlpm.MVY,DataShift!AU513,        _xlpm.MVYY, DataShift!AT513,                                IF(_xlpm.MVToday=_xlpm.MVY,_xlpm.MVY-_xlpm.MVYY,_xlpm.MVToday-_xlpm.MVY))</f>
        <v>-27422.5</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0.11485061080312024</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0.11485061080312024</v>
      </c>
      <c r="BC12" s="87" cm="1">
        <f t="array" aca="1" ref="BC12" ca="1">INDEX(TabReg[], 1, _xlfn.XMATCH(TabCalc[[#This Row],[Ticker]]&amp;1, TabReg[#Headers], 0))</f>
        <v>12500</v>
      </c>
      <c r="BD12" s="159">
        <f ca="1">TabCalc[[#This Row],[Nbegin]]*TabCalc[[#This Row],[M]]*TabCalc[[#This Row],[Scale]]+TabCalc[[#This Row],[ValueBegin]]</f>
        <v>-66085.5</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-72329.25</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-127776.25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45968.86958326328</v>
      </c>
      <c r="BT12" s="175">
        <f ca="1">(TabCalc[[#This Row],[ValueBegin]]+(TabCalc[[#This Row],[M]]-TabCalc[[#This Row],[A]])*TabCalc[[#This Row],[NAfter]])*TabCalc[[#This Row],[Scale]]</f>
        <v>-231324.25</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-127776.24999999999</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-127776.24999999999</v>
      </c>
      <c r="DB12" s="90">
        <f ca="1">IFERROR((TabCalc[[#This Row],[M]]+TabCalc[[#This Row],[L_Bp]])/ABS(TabCalc[[#This Row],[L_Bp]])/(TODAY()-TabCalc[[#This Row],[L_Bdate]])*360,"")</f>
        <v>-5.3339567643775732E-2</v>
      </c>
      <c r="DC12" s="310">
        <f ca="1">MEDIAN(DataShift!F712:Z712)</f>
        <v>-1.0899000000000001E-2</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37462.5</v>
      </c>
      <c r="DF12" s="87" cm="1">
        <f t="array" aca="1" ref="DF12" ca="1">SUMPRODUCT(ISNUMBER(INDIRECT("TabReg["&amp;TabCalc[[#This Row],[Ticker]]&amp;"2]"))* INDIRECT("TabReg["&amp;TabCalc[[#This Row],[Ticker]]&amp;"1]") * INDIRECT("TabReg["&amp;TabCalc[[#This Row],[Ticker]]&amp;"2]") )*TabCalc[[#This Row],[Scale]]</f>
        <v>-158995</v>
      </c>
      <c r="DI12" s="87">
        <f ca="1"/>
        <v>1166000</v>
      </c>
      <c r="DJ12" s="90">
        <f t="shared" ca="1" si="2"/>
        <v>0.10701636445482582</v>
      </c>
      <c r="DK12" t="str">
        <f ca="1">_xlfn.XLOOKUP(DI12,TabCalc[Column1],TabCalc[Ticker])</f>
        <v>VONN</v>
      </c>
      <c r="DL12" s="87">
        <f ca="1">_xlfn.XLOOKUP(DK12,TabCalc[Ticker],TabCalc[ValueBegin])</f>
        <v>-1126036.29</v>
      </c>
      <c r="DM12" s="87">
        <f ca="1">_xlfn.XLOOKUP(DK12,TabCalc[Ticker],TabCalc[M_V])</f>
        <v>1166000</v>
      </c>
      <c r="DN12" s="87">
        <f ca="1">_xlfn.XLOOKUP(DK12,TabCalc[Ticker],TabCalc[GL])</f>
        <v>120504.30999999994</v>
      </c>
      <c r="DO12" s="90"/>
      <c r="DP12" s="90"/>
      <c r="DQ12" s="88" t="s">
        <v>9</v>
      </c>
      <c r="DR12" s="81">
        <v>5000</v>
      </c>
      <c r="DS12" s="315">
        <v>-39.770000000000003</v>
      </c>
      <c r="DU12" s="82">
        <v>31000</v>
      </c>
      <c r="DV12" s="82">
        <f ca="1">DU12-TabCalc[[#This Row],[M_V]]</f>
        <v>-218.75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10554.6</v>
      </c>
      <c r="G13" s="82">
        <f ca="1">IFERROR(TabCalc[[#This Row],[SB]]-TabCalc[[#This Row],[SST]],TabCalc[[#This Row],[SB]])</f>
        <v>105</v>
      </c>
      <c r="H13" s="532" t="str">
        <f ca="1">[1]!RTData[[#This Row],[Ticker_Symbol]]</f>
        <v>C</v>
      </c>
      <c r="I13" s="383">
        <f ca="1">_xlfn.XLOOKUP(TabCalc[[#This Row],[Ticker]],[1]!RTData[Ticker_Symbol],[1]!RTData[M-Price])</f>
        <v>100.52</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-3.2719999999999997E-3</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0.15201225580332148</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-41.00000000000108</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3965.8499999999995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-298.77499999999964</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-8924.9999999999964</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11.550000000001091</v>
      </c>
      <c r="AQ13" s="334">
        <f ca="1">_xlfn.LET(_xlpm.MVToday,DataShift!AV513,         _xlpm.MVY,DataShift!AU514,        _xlpm.MVYY, DataShift!AT514,                                IF(_xlpm.MVToday=_xlpm.MVY,_xlpm.MVY-_xlpm.MVYY,_xlpm.MVToday-_xlpm.MVY))</f>
        <v>38481.25</v>
      </c>
      <c r="AR13" s="334">
        <f ca="1">_xlfn.LET(_xlpm.MVToday,DataShift!AV513,         _xlpm.MVY,DataShift!AU514,        _xlpm.MVYY, DataShift!AT514,         _xlpm.MVYYY, DataShift!AS514,                      IF(_xlpm.MVToday=_xlpm.MVY,      _xlpm.MVYY-_xlpm.MVYYY,          _xlpm.MVY-_xlpm.MVYY))</f>
        <v>-656.24999999999636</v>
      </c>
      <c r="AS13" s="984">
        <f ca="1">TabCalc[[#This Row],[Y]]/TabCalc[[#This Row],[M]]</f>
        <v>1.131733983286908</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-0.20304934590897231</v>
      </c>
      <c r="AY13" s="82">
        <f t="shared" ca="1" si="1"/>
        <v>0</v>
      </c>
      <c r="AZ13" s="90">
        <f ca="1">_xlfn.XLOOKUP(TabCalc[[#This Row],[Ticker]],[1]!RTData[Ticker_Symbol],[1]!RTData[V/VA])</f>
        <v>0.88466405030695294</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0.88466405030695294</v>
      </c>
      <c r="BC13" s="87" cm="1">
        <f t="array" aca="1" ref="BC13" ca="1">INDEX(TabReg[], 1, _xlfn.XMATCH(TabCalc[[#This Row],[Ticker]]&amp;1, TabReg[#Headers], 0))</f>
        <v>100</v>
      </c>
      <c r="BD13" s="159">
        <f ca="1">TabCalc[[#This Row],[Nbegin]]*TabCalc[[#This Row],[M]]*TabCalc[[#This Row],[Scale]]+TabCalc[[#This Row],[ValueBegin]]</f>
        <v>5145</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5647.6</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40460.965000000004</v>
      </c>
      <c r="BM13" s="159">
        <f ca="1">IF(        OR( TabCalc[[#This Row],[GL]]&gt;ABS(TabCalc[[#This Row],[EfCost]]),TabCalc[[#This Row],[NAfter]]=0),             TabCalc[[#This Row],[GL]],     0)</f>
        <v>40460.965000000004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45968.870790034372</v>
      </c>
      <c r="BT13" s="175">
        <f ca="1">(TabCalc[[#This Row],[ValueBegin]]+(TabCalc[[#This Row],[M]]-TabCalc[[#This Row],[A]])*TabCalc[[#This Row],[NAfter]])*TabCalc[[#This Row],[Scale]]</f>
        <v>-4759.1500000000015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147.84999999999897</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147.84999999999897</v>
      </c>
      <c r="DB13" s="90">
        <f ca="1">IFERROR((TabCalc[[#This Row],[M]]+TabCalc[[#This Row],[L_Bp]])/ABS(TabCalc[[#This Row],[L_Bp]])/(TODAY()-TabCalc[[#This Row],[L_Bdate]])*360,"")</f>
        <v>-0.48746656098287222</v>
      </c>
      <c r="DC13" s="310">
        <f ca="1">MEDIAN(DataShift!F713:Z713)</f>
        <v>-6.8259999999999996E-3</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10052</v>
      </c>
      <c r="DF13" s="87" cm="1">
        <f t="array" aca="1" ref="DF13" ca="1">SUMPRODUCT(ISNUMBER(INDIRECT("TabReg["&amp;TabCalc[[#This Row],[Ticker]]&amp;"2]"))* INDIRECT("TabReg["&amp;TabCalc[[#This Row],[Ticker]]&amp;"1]") * INDIRECT("TabReg["&amp;TabCalc[[#This Row],[Ticker]]&amp;"2]") )*TabCalc[[#This Row],[Scale]]</f>
        <v>29906.365000000005</v>
      </c>
      <c r="DI13" s="87">
        <f ca="1"/>
        <v>805250</v>
      </c>
      <c r="DJ13" s="90">
        <f t="shared" ca="1" si="2"/>
        <v>0.70741246341463415</v>
      </c>
      <c r="DK13" t="str">
        <f ca="1">_xlfn.XLOOKUP(DI13,TabCalc[Column1],TabCalc[Ticker])</f>
        <v>JBEOAN</v>
      </c>
      <c r="DL13" s="87">
        <f ca="1">_xlfn.XLOOKUP(DK13,TabCalc[Ticker],TabCalc[ValueBegin])</f>
        <v>-451000</v>
      </c>
      <c r="DM13" s="87">
        <f ca="1">_xlfn.XLOOKUP(DK13,TabCalc[Ticker],TabCalc[M_V])</f>
        <v>289890</v>
      </c>
      <c r="DN13" s="87">
        <f ca="1">_xlfn.XLOOKUP(DK13,TabCalc[Ticker],TabCalc[GL])</f>
        <v>319043.02100000001</v>
      </c>
      <c r="DO13" s="90"/>
      <c r="DP13" s="90"/>
      <c r="DQ13" s="88" t="s">
        <v>10</v>
      </c>
      <c r="DR13" s="81">
        <v>2000</v>
      </c>
      <c r="DS13" s="315">
        <v>-108.31</v>
      </c>
      <c r="DU13" s="82">
        <v>505.09999999999997</v>
      </c>
      <c r="DV13" s="82">
        <f ca="1">DU13-TabCalc[[#This Row],[M_V]]</f>
        <v>-10049.5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70925</v>
      </c>
      <c r="G14" s="82">
        <f ca="1">IFERROR(TabCalc[[#This Row],[SB]]-TabCalc[[#This Row],[SST]],TabCalc[[#This Row],[SB]])</f>
        <v>1000</v>
      </c>
      <c r="H14" s="532" t="str">
        <f ca="1">[1]!RTData[[#This Row],[Ticker_Symbol]]</f>
        <v>CSCO</v>
      </c>
      <c r="I14" s="383">
        <f ca="1">_xlfn.XLOOKUP(TabCalc[[#This Row],[Ticker]],[1]!RTData[Ticker_Symbol],[1]!RTData[M-Price])</f>
        <v>70.924999999999997</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-1.6189999999999998E-3</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0.21206213240963048</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3724.9999999999945</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11989.999999999995</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-1584.9999999999936</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-2605.0000000000041</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-465</v>
      </c>
      <c r="AQ14" s="334">
        <f ca="1">_xlfn.LET(_xlpm.MVToday,DataShift!AV514,         _xlpm.MVY,DataShift!AU515,        _xlpm.MVYY, DataShift!AT515,                                IF(_xlpm.MVToday=_xlpm.MVY,_xlpm.MVY-_xlpm.MVYY,_xlpm.MVToday-_xlpm.MVY))</f>
        <v>20664.150000000001</v>
      </c>
      <c r="AR14" s="334">
        <f ca="1">_xlfn.LET(_xlpm.MVToday,DataShift!AV514,         _xlpm.MVY,DataShift!AU515,        _xlpm.MVYY, DataShift!AT515,         _xlpm.MVYYY, DataShift!AS515,                      IF(_xlpm.MVToday=_xlpm.MVY,      _xlpm.MVYY-_xlpm.MVYYY,          _xlpm.MVY-_xlpm.MVYY))</f>
        <v>-51.450000000000728</v>
      </c>
      <c r="AS14" s="984">
        <f ca="1">TabCalc[[#This Row],[Y]]/TabCalc[[#This Row],[M]]</f>
        <v>1.0756566795911173</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-2.8554035649937543E-2</v>
      </c>
      <c r="AY14" s="82">
        <f t="shared" ca="1" si="1"/>
        <v>4000</v>
      </c>
      <c r="AZ14" s="90">
        <f ca="1">_xlfn.XLOOKUP(TabCalc[[#This Row],[Ticker]],[1]!RTData[Ticker_Symbol],[1]!RTData[V/VA])</f>
        <v>0.61914118961950071</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0.61914118961950071</v>
      </c>
      <c r="BC14" s="87" cm="1">
        <f t="array" aca="1" ref="BC14" ca="1">INDEX(TabReg[], 1, _xlfn.XMATCH(TabCalc[[#This Row],[Ticker]]&amp;1, TabReg[#Headers], 0))</f>
        <v>5000</v>
      </c>
      <c r="BD14" s="159">
        <f ca="1">TabCalc[[#This Row],[Nbegin]]*TabCalc[[#This Row],[M]]*TabCalc[[#This Row],[Scale]]+TabCalc[[#This Row],[ValueBegin]]</f>
        <v>155774.99999999997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-127925.00000000003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131563.84999999998</v>
      </c>
      <c r="BM14" s="159">
        <f ca="1">IF(        OR( TabCalc[[#This Row],[GL]]&gt;ABS(TabCalc[[#This Row],[EfCost]]),TabCalc[[#This Row],[NAfter]]=0),             TabCalc[[#This Row],[GL]],     0)</f>
        <v>131563.84999999998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45968.87077415469</v>
      </c>
      <c r="BT14" s="175">
        <f ca="1">(TabCalc[[#This Row],[ValueBegin]]+(TabCalc[[#This Row],[M]]-TabCalc[[#This Row],[A]])*TabCalc[[#This Row],[NAfter]])*TabCalc[[#This Row],[Scale]]</f>
        <v>-195125.00000000003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3724.9999999999945</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1000</v>
      </c>
      <c r="CX14" s="405">
        <f ca="1">TabCalc[[#This Row],[ntoSell]]*TabCalc[[#This Row],[M]]</f>
        <v>70925</v>
      </c>
      <c r="CY14" s="398">
        <f ca="1">_xlfn.LET(_xlpm.nToSell,IF(TabCalc[[#This Row],[M]]-TabCalc[[#This Row],[A]]&lt;=0,"",INT(DesiredSaleGain/(TabCalc[[#This Row],[M]]-IF(TabCalc[[#This Row],[E]]&gt;0,0,TabCalc[[#This Row],[A]])))),IF(_xlpm.nToSell&lt;=TabCalc[[#This Row],[NAfter]],_xlpm.nToSell,0))</f>
        <v>0</v>
      </c>
      <c r="CZ14" s="336">
        <f ca="1">IFERROR(TabCalc[[#This Row],[NMA]]*TabCalc[[#This Row],[M]],"")</f>
        <v>0</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3724.9999999999945</v>
      </c>
      <c r="DB14" s="90">
        <f ca="1">IFERROR((TabCalc[[#This Row],[M]]+TabCalc[[#This Row],[L_Bp]])/ABS(TabCalc[[#This Row],[L_Bp]])/(TODAY()-TabCalc[[#This Row],[L_Bdate]])*360,"")</f>
        <v>0.47512755102040738</v>
      </c>
      <c r="DC14" s="310">
        <f ca="1">MEDIAN(DataShift!F714:Z714)</f>
        <v>-3.2719999999999997E-3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354625</v>
      </c>
      <c r="DF14" s="87" cm="1">
        <f t="array" aca="1" ref="DF14" ca="1">SUMPRODUCT(ISNUMBER(INDIRECT("TabReg["&amp;TabCalc[[#This Row],[Ticker]]&amp;"2]"))* INDIRECT("TabReg["&amp;TabCalc[[#This Row],[Ticker]]&amp;"1]") * INDIRECT("TabReg["&amp;TabCalc[[#This Row],[Ticker]]&amp;"2]") )*TabCalc[[#This Row],[Scale]]</f>
        <v>60638.849999999962</v>
      </c>
      <c r="DI14" s="87">
        <f ca="1"/>
        <v>784415.39999999991</v>
      </c>
      <c r="DJ14" s="90">
        <f t="shared" ca="1" si="2"/>
        <v>0.90524344569288362</v>
      </c>
      <c r="DK14" t="str">
        <f ca="1">_xlfn.XLOOKUP(DI14,TabCalc[Column1],TabCalc[Ticker])</f>
        <v>LOCK</v>
      </c>
      <c r="DL14" s="87">
        <f ca="1">_xlfn.XLOOKUP(DK14,TabCalc[Ticker],TabCalc[ValueBegin])</f>
        <v>-411714</v>
      </c>
      <c r="DM14" s="87">
        <f ca="1">_xlfn.XLOOKUP(DK14,TabCalc[Ticker],TabCalc[M_V])</f>
        <v>784415.39999999991</v>
      </c>
      <c r="DN14" s="87">
        <f ca="1">_xlfn.XLOOKUP(DK14,TabCalc[Ticker],TabCalc[GL])</f>
        <v>372701.39999999991</v>
      </c>
      <c r="DO14" s="90"/>
      <c r="DP14" s="90"/>
      <c r="DQ14" s="88" t="s">
        <v>11</v>
      </c>
      <c r="DR14" s="82">
        <v>40000</v>
      </c>
      <c r="DS14" s="315">
        <v>-10.359875000000001</v>
      </c>
      <c r="DU14" s="82">
        <v>72320</v>
      </c>
      <c r="DV14" s="82">
        <f ca="1">DU14-TabCalc[[#This Row],[M_V]]</f>
        <v>1395</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78.84</v>
      </c>
      <c r="G15" s="82">
        <f ca="1">IFERROR(TabCalc[[#This Row],[SB]]-TabCalc[[#This Row],[SST]],TabCalc[[#This Row],[SB]])</f>
        <v>1</v>
      </c>
      <c r="H15" s="532" t="str">
        <f ca="1">[1]!RTData[[#This Row],[Ticker_Symbol]]</f>
        <v>CVS</v>
      </c>
      <c r="I15" s="383">
        <f ca="1">_xlfn.XLOOKUP(TabCalc[[#This Row],[Ticker]],[1]!RTData[Ticker_Symbol],[1]!RTData[M-Price])</f>
        <v>78.84</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2.2880000000000001E-3</v>
      </c>
      <c r="N15" s="1077">
        <v>0</v>
      </c>
      <c r="O15" s="899">
        <f>TabCalc[[#This Row],[Up20]]-1+TabCalc[[#This Row],[Up20]]</f>
        <v>-1</v>
      </c>
      <c r="P15" s="899">
        <f>TabCalc[[#This Row],[Up20]]-TabCalc[[#This Row],[Up150]]</f>
        <v>-0.4</v>
      </c>
      <c r="Q15" s="899">
        <v>0.4</v>
      </c>
      <c r="R15" s="899">
        <f>TabCalc[[#This Row],[Up150]]-1+TabCalc[[#This Row],[Up150]]</f>
        <v>-0.19999999999999996</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2.8299745275706747E-2</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22.783810000000003</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32.6</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-1034.5950000000003</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-12078.750000000004</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-0.14999999999999147</v>
      </c>
      <c r="AQ15" s="334">
        <f ca="1">_xlfn.LET(_xlpm.MVToday,DataShift!AV515,         _xlpm.MVY,DataShift!AU516,        _xlpm.MVYY, DataShift!AT516,                                IF(_xlpm.MVToday=_xlpm.MVY,_xlpm.MVY-_xlpm.MVYY,_xlpm.MVToday-_xlpm.MVY))</f>
        <v>-60370.400000000001</v>
      </c>
      <c r="AR15" s="334">
        <f ca="1">_xlfn.LET(_xlpm.MVToday,DataShift!AV515,         _xlpm.MVY,DataShift!AU516,        _xlpm.MVYY, DataShift!AT516,         _xlpm.MVYYY, DataShift!AS516,                      IF(_xlpm.MVToday=_xlpm.MVY,      _xlpm.MVYY-_xlpm.MVYYY,          _xlpm.MVY-_xlpm.MVYY))</f>
        <v>-230</v>
      </c>
      <c r="AS15" s="984">
        <f ca="1">TabCalc[[#This Row],[Y]]/TabCalc[[#This Row],[M]]</f>
        <v>1.147640791476408</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-0.22108523188353138</v>
      </c>
      <c r="AY15" s="82">
        <f t="shared" ca="1" si="1"/>
        <v>1999</v>
      </c>
      <c r="AZ15" s="90">
        <f ca="1">_xlfn.XLOOKUP(TabCalc[[#This Row],[Ticker]],[1]!RTData[Ticker_Symbol],[1]!RTData[V/VA])</f>
        <v>0.36095784006590592</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0.36095784006590592</v>
      </c>
      <c r="BC15" s="87" cm="1">
        <f t="array" aca="1" ref="BC15" ca="1">INDEX(TabReg[], 1, _xlfn.XMATCH(TabCalc[[#This Row],[Ticker]]&amp;1, TabReg[#Headers], 0))</f>
        <v>2000</v>
      </c>
      <c r="BD15" s="159">
        <f ca="1">TabCalc[[#This Row],[Nbegin]]*TabCalc[[#This Row],[M]]*TabCalc[[#This Row],[Scale]]+TabCalc[[#This Row],[ValueBegin]]</f>
        <v>-58940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-216541.16</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-44445.725000000006</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45968.870794282033</v>
      </c>
      <c r="BT15" s="175">
        <f ca="1">(TabCalc[[#This Row],[ValueBegin]]+(TabCalc[[#This Row],[M]]-TabCalc[[#This Row],[A]])*TabCalc[[#This Row],[NAfter]])*TabCalc[[#This Row],[Scale]]</f>
        <v>-216597.21619000001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22.783810000000003</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78.84</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22.783810000000003</v>
      </c>
      <c r="DB15" s="90">
        <f ca="1">IFERROR((TabCalc[[#This Row],[M]]+TabCalc[[#This Row],[L_Bp]])/ABS(TabCalc[[#This Row],[L_Bp]])/(TODAY()-TabCalc[[#This Row],[L_Bdate]])*360,"")</f>
        <v>0.51521314444476096</v>
      </c>
      <c r="DC15" s="310">
        <f ca="1">MEDIAN(DataShift!F715:Z715)</f>
        <v>-8.4840000000000002E-4</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157680</v>
      </c>
      <c r="DF15" s="87" cm="1">
        <f t="array" aca="1" ref="DF15" ca="1">SUMPRODUCT(ISNUMBER(INDIRECT("TabReg["&amp;TabCalc[[#This Row],[Ticker]]&amp;"2]"))* INDIRECT("TabReg["&amp;TabCalc[[#This Row],[Ticker]]&amp;"1]") * INDIRECT("TabReg["&amp;TabCalc[[#This Row],[Ticker]]&amp;"2]") )*TabCalc[[#This Row],[Scale]]</f>
        <v>-44524.565000000002</v>
      </c>
      <c r="DI15" s="87">
        <f ca="1"/>
        <v>732400</v>
      </c>
      <c r="DJ15" s="90">
        <f t="shared" ca="1" si="2"/>
        <v>0.53468373493975907</v>
      </c>
      <c r="DK15" t="str">
        <f ca="1">_xlfn.XLOOKUP(DI15,TabCalc[Column1],TabCalc[Ticker])</f>
        <v>SAFIAG</v>
      </c>
      <c r="DL15" s="87">
        <f ca="1">_xlfn.XLOOKUP(DK15,TabCalc[Ticker],TabCalc[ValueBegin])</f>
        <v>-332000</v>
      </c>
      <c r="DM15" s="87">
        <f ca="1">_xlfn.XLOOKUP(DK15,TabCalc[Ticker],TabCalc[M_V])</f>
        <v>0</v>
      </c>
      <c r="DN15" s="87">
        <f ca="1">_xlfn.XLOOKUP(DK15,TabCalc[Ticker],TabCalc[GL])</f>
        <v>177515</v>
      </c>
      <c r="DO15" s="90"/>
      <c r="DP15" s="90"/>
      <c r="DQ15" s="88" t="s">
        <v>12</v>
      </c>
      <c r="DR15" s="81">
        <v>350</v>
      </c>
      <c r="DS15" s="315">
        <v>-170.71425714285715</v>
      </c>
      <c r="DU15" s="82">
        <v>78.084999999999994</v>
      </c>
      <c r="DV15" s="82">
        <f ca="1">DU15-TabCalc[[#This Row],[M_V]]</f>
        <v>-0.75500000000000966</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189125</v>
      </c>
      <c r="G16" s="82">
        <f ca="1">IFERROR(TabCalc[[#This Row],[SB]]-TabCalc[[#This Row],[SST]],TabCalc[[#This Row],[SB]])</f>
        <v>85000</v>
      </c>
      <c r="H16" s="532" t="str">
        <f ca="1">[1]!RTData[[#This Row],[Ticker_Symbol]]</f>
        <v>DDD</v>
      </c>
      <c r="I16" s="383">
        <f ca="1">_xlfn.XLOOKUP(TabCalc[[#This Row],[Ticker]],[1]!RTData[Ticker_Symbol],[1]!RTData[M-Price])</f>
        <v>2.2250000000000001</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-1.1110999999999999E-2</v>
      </c>
      <c r="N16" s="1077">
        <v>0.35714285714285715</v>
      </c>
      <c r="O16" s="899">
        <f>TabCalc[[#This Row],[Up20]]-1+TabCalc[[#This Row],[Up20]]</f>
        <v>-0.28571428571428564</v>
      </c>
      <c r="P16" s="899">
        <f>TabCalc[[#This Row],[Up20]]-TabCalc[[#This Row],[Up150]]</f>
        <v>-0.11693121693121694</v>
      </c>
      <c r="Q16" s="899">
        <v>0.47407407407407409</v>
      </c>
      <c r="R16" s="899">
        <f>TabCalc[[#This Row],[Up150]]-1+TabCalc[[#This Row],[Up150]]</f>
        <v>-5.1851851851851816E-2</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-0.2555977672136403</v>
      </c>
      <c r="U16" s="1013">
        <v>40000</v>
      </c>
      <c r="V16" s="1013">
        <v>45000</v>
      </c>
      <c r="W16" s="1013">
        <v>0</v>
      </c>
      <c r="X16" s="899" t="str">
        <f ca="1">IF(TabCalc[[#This Row],[EfCost]]+TabCalc[[#This Row],[M_V]]&lt;TabCalc[[#This Row],[NoT_GL]],"Pile","")</f>
        <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6300.0000000000036</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-21525</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9249.9999999999982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4275</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424.9999999999709</v>
      </c>
      <c r="AQ16" s="334">
        <f ca="1">_xlfn.LET(_xlpm.MVToday,DataShift!AV516,         _xlpm.MVY,DataShift!AU517,        _xlpm.MVYY, DataShift!AT517,                                IF(_xlpm.MVToday=_xlpm.MVY,_xlpm.MVY-_xlpm.MVYY,_xlpm.MVToday-_xlpm.MVY))</f>
        <v>70846.16</v>
      </c>
      <c r="AR16" s="334">
        <f ca="1">_xlfn.LET(_xlpm.MVToday,DataShift!AV516,         _xlpm.MVY,DataShift!AU517,        _xlpm.MVYY, DataShift!AT517,         _xlpm.MVYYY, DataShift!AS517,                      IF(_xlpm.MVToday=_xlpm.MVY,      _xlpm.MVYY-_xlpm.MVYYY,          _xlpm.MVY-_xlpm.MVYY))</f>
        <v>0.10999999999999943</v>
      </c>
      <c r="AS16" s="984">
        <f ca="1">TabCalc[[#This Row],[Y]]/TabCalc[[#This Row],[M]]</f>
        <v>1.4606741573033708</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-0.14892178046672427</v>
      </c>
      <c r="AY16" s="82">
        <f t="shared" ca="1" si="1"/>
        <v>0</v>
      </c>
      <c r="AZ16" s="90">
        <f ca="1">_xlfn.XLOOKUP(TabCalc[[#This Row],[Ticker]],[1]!RTData[Ticker_Symbol],[1]!RTData[V/VA])</f>
        <v>0.54788075577674089</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0.54788075577674089</v>
      </c>
      <c r="BC16" s="87" cm="1">
        <f t="array" aca="1" ref="BC16" ca="1">INDEX(TabReg[], 1, _xlfn.XMATCH(TabCalc[[#This Row],[Ticker]]&amp;1, TabReg[#Headers], 0))</f>
        <v>40000</v>
      </c>
      <c r="BD16" s="159">
        <f ca="1">TabCalc[[#This Row],[Nbegin]]*TabCalc[[#This Row],[M]]*TabCalc[[#This Row],[Scale]]+TabCalc[[#This Row],[ValueBegin]]</f>
        <v>-325395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-225270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-323489.5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8.82</v>
      </c>
      <c r="BR16" s="174" t="str">
        <f ca="1">IF(TabCalc[[#This Row],[EfCost]]+TabCalc[[#This Row],[M_V]]&lt;TabCalc[[#This Row],[NoT_GL]],"Pile","")</f>
        <v/>
      </c>
      <c r="BS16" s="165">
        <f ca="1">_xlfn.XLOOKUP(TabCalc[[#This Row],[Ticker]],[1]!RTData[Ticker_Symbol],[1]!RTData[Last trade time])</f>
        <v>45968.870802858597</v>
      </c>
      <c r="BT16" s="175">
        <f ca="1">(TabCalc[[#This Row],[ValueBegin]]+(TabCalc[[#This Row],[M]]-TabCalc[[#This Row],[A]])*TabCalc[[#This Row],[NAfter]])*TabCalc[[#This Row],[Scale]]</f>
        <v>-479170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-64774.999999999971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5405.4054054054068</v>
      </c>
      <c r="CV16" s="404">
        <f ca="1">IF(TabCalc[[#This Row],[ntoBuy]]*TabCalc[[#This Row],[M]]&lt;=0,0,TabCalc[[#This Row],[ntoBuy]]*TabCalc[[#This Row],[M]])</f>
        <v>12027.02702702703</v>
      </c>
      <c r="CW16" s="404">
        <f ca="1">IF(TabCalc[[#This Row],[M]]&gt;ABS(TabCalc[[#This Row],[L_Bp]]),MIN(TabCalc[[#This Row],[NAfter]],DesiredSaleGain/(TabCalc[[#This Row],[M]]+TabCalc[[#This Row],[L_Bp]])),0)/TabCalc[[#This Row],[Scale]]</f>
        <v>15873.015873015864</v>
      </c>
      <c r="CX16" s="405">
        <f ca="1">TabCalc[[#This Row],[ntoSell]]*TabCalc[[#This Row],[M]]</f>
        <v>35317.460317460296</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-64774.999999999971</v>
      </c>
      <c r="DB16" s="90">
        <f ca="1">IFERROR((TabCalc[[#This Row],[M]]+TabCalc[[#This Row],[L_Bp]])/ABS(TabCalc[[#This Row],[L_Bp]])/(TODAY()-TabCalc[[#This Row],[L_Bdate]])*360,"")</f>
        <v>0.33354903229601762</v>
      </c>
      <c r="DC16" s="310">
        <f ca="1">MEDIAN(DataShift!F716:Z716)</f>
        <v>2.2880000000000001E-3</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89000</v>
      </c>
      <c r="DF16" s="87" cm="1">
        <f t="array" aca="1" ref="DF16" ca="1">SUMPRODUCT(ISNUMBER(INDIRECT("TabReg["&amp;TabCalc[[#This Row],[Ticker]]&amp;"2]"))* INDIRECT("TabReg["&amp;TabCalc[[#This Row],[Ticker]]&amp;"1]") * INDIRECT("TabReg["&amp;TabCalc[[#This Row],[Ticker]]&amp;"2]") )*TabCalc[[#This Row],[Scale]]</f>
        <v>-512614.5</v>
      </c>
      <c r="DI16" s="87">
        <f ca="1"/>
        <v>571700</v>
      </c>
      <c r="DJ16" s="90">
        <f t="shared" ca="1" si="2"/>
        <v>4.5171446099999999</v>
      </c>
      <c r="DK16" t="str">
        <f ca="1">_xlfn.XLOOKUP(DI16,TabCalc[Column1],TabCalc[Ticker])</f>
        <v>TSM</v>
      </c>
      <c r="DL16" s="87">
        <f ca="1">_xlfn.XLOOKUP(DK16,TabCalc[Ticker],TabCalc[ValueBegin])</f>
        <v>-200000</v>
      </c>
      <c r="DM16" s="87">
        <f ca="1">_xlfn.XLOOKUP(DK16,TabCalc[Ticker],TabCalc[M_V])</f>
        <v>1286325</v>
      </c>
      <c r="DN16" s="87">
        <f ca="1">_xlfn.XLOOKUP(DK16,TabCalc[Ticker],TabCalc[GL])</f>
        <v>903428.92200000002</v>
      </c>
      <c r="DO16" s="90"/>
      <c r="DP16" s="90"/>
      <c r="DQ16" s="88" t="s">
        <v>13</v>
      </c>
      <c r="DR16" s="81">
        <v>250</v>
      </c>
      <c r="DS16" s="315">
        <v>-1</v>
      </c>
      <c r="DU16" s="82">
        <v>223125</v>
      </c>
      <c r="DV16" s="82">
        <f ca="1">DU16-TabCalc[[#This Row],[M_V]]</f>
        <v>34000</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110730</v>
      </c>
      <c r="G17" s="82">
        <f ca="1">IFERROR(TabCalc[[#This Row],[SB]]-TabCalc[[#This Row],[SST]],TabCalc[[#This Row],[SB]])</f>
        <v>1000</v>
      </c>
      <c r="H17" s="532" t="str">
        <f ca="1">[1]!RTData[[#This Row],[Ticker_Symbol]]</f>
        <v>DIS</v>
      </c>
      <c r="I17" s="383">
        <f ca="1">_xlfn.XLOOKUP(TabCalc[[#This Row],[Ticker]],[1]!RTData[Ticker_Symbol],[1]!RTData[M-Price])</f>
        <v>110.73</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2.1719999999999999E-3</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0.17636151659023835</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-4133.9999999999918</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1160.0000000000023</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6919.9999999999927</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2668.0000000000009</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380</v>
      </c>
      <c r="AQ17" s="334">
        <f ca="1">_xlfn.LET(_xlpm.MVToday,DataShift!AV517,         _xlpm.MVY,DataShift!AU518,        _xlpm.MVYY, DataShift!AT518,                                IF(_xlpm.MVToday=_xlpm.MVY,_xlpm.MVY-_xlpm.MVYY,_xlpm.MVToday-_xlpm.MVY))</f>
        <v>-189046.16</v>
      </c>
      <c r="AR17" s="334">
        <f ca="1">_xlfn.LET(_xlpm.MVToday,DataShift!AV517,         _xlpm.MVY,DataShift!AU518,        _xlpm.MVYY, DataShift!AT518,         _xlpm.MVYYY, DataShift!AS518,                      IF(_xlpm.MVToday=_xlpm.MVY,      _xlpm.MVYY-_xlpm.MVYYY,          _xlpm.MVY-_xlpm.MVYY))</f>
        <v>-3400</v>
      </c>
      <c r="AS17" s="984">
        <f ca="1">TabCalc[[#This Row],[Y]]/TabCalc[[#This Row],[M]]</f>
        <v>1.2108046599837441</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-0.85670605668387001</v>
      </c>
      <c r="AY17" s="82">
        <f t="shared" ca="1" si="1"/>
        <v>0</v>
      </c>
      <c r="AZ17" s="90">
        <f ca="1">_xlfn.XLOOKUP(TabCalc[[#This Row],[Ticker]],[1]!RTData[Ticker_Symbol],[1]!RTData[V/VA])</f>
        <v>0.86820077434090825</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0.86820077434090825</v>
      </c>
      <c r="BC17" s="87" cm="1">
        <f t="array" aca="1" ref="BC17" ca="1">INDEX(TabReg[], 1, _xlfn.XMATCH(TabCalc[[#This Row],[Ticker]]&amp;1, TabReg[#Headers], 0))</f>
        <v>350</v>
      </c>
      <c r="BD17" s="159">
        <f ca="1">TabCalc[[#This Row],[Nbegin]]*TabCalc[[#This Row],[M]]*TabCalc[[#This Row],[Scale]]+TabCalc[[#This Row],[ValueBegin]]</f>
        <v>-20994.490000000005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50980.009999999995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19032.487999999954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148.95</v>
      </c>
      <c r="BR17" s="174" t="str">
        <f ca="1">IF(TabCalc[[#This Row],[EfCost]]+TabCalc[[#This Row],[M_V]]&lt;TabCalc[[#This Row],[NoT_GL]],"Pile","")</f>
        <v/>
      </c>
      <c r="BS17" s="165">
        <f ca="1">_xlfn.XLOOKUP(TabCalc[[#This Row],[Ticker]],[1]!RTData[Ticker_Symbol],[1]!RTData[Last trade time])</f>
        <v>45968.870786099222</v>
      </c>
      <c r="BT17" s="175">
        <f ca="1">(TabCalc[[#This Row],[ValueBegin]]+(TabCalc[[#This Row],[M]]-TabCalc[[#This Row],[A]])*TabCalc[[#This Row],[NAfter]])*TabCalc[[#This Row],[Scale]]</f>
        <v>-63593.99</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-3843.9999999999941</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578.03468208092545</v>
      </c>
      <c r="CV17" s="404">
        <f ca="1">IF(TabCalc[[#This Row],[ntoBuy]]*TabCalc[[#This Row],[M]]&lt;=0,0,TabCalc[[#This Row],[ntoBuy]]*TabCalc[[#This Row],[M]])</f>
        <v>64005.78034682088</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-3843.9999999999941</v>
      </c>
      <c r="DB17" s="90">
        <f ca="1">IFERROR((TabCalc[[#This Row],[M]]+TabCalc[[#This Row],[L_Bp]])/ABS(TabCalc[[#This Row],[L_Bp]])/(TODAY()-TabCalc[[#This Row],[L_Bdate]])*360,"")</f>
        <v>-0.27674572731106728</v>
      </c>
      <c r="DC17" s="310">
        <f ca="1">MEDIAN(DataShift!F717:Z717)</f>
        <v>-1.1110999999999999E-2</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38755.5</v>
      </c>
      <c r="DF17" s="87" cm="1">
        <f t="array" aca="1" ref="DF17" ca="1">SUMPRODUCT(ISNUMBER(INDIRECT("TabReg["&amp;TabCalc[[#This Row],[Ticker]]&amp;"2]"))* INDIRECT("TabReg["&amp;TabCalc[[#This Row],[Ticker]]&amp;"1]") * INDIRECT("TabReg["&amp;TabCalc[[#This Row],[Ticker]]&amp;"2]") )*TabCalc[[#This Row],[Scale]]</f>
        <v>-91697.512000000046</v>
      </c>
      <c r="DI17" s="87">
        <f ca="1"/>
        <v>546400</v>
      </c>
      <c r="DJ17" s="90">
        <f t="shared" ca="1" si="2"/>
        <v>0.35321013953373603</v>
      </c>
      <c r="DK17" t="str">
        <f ca="1">_xlfn.XLOOKUP(DI17,TabCalc[Column1],TabCalc[Ticker])</f>
        <v>MVEGLE</v>
      </c>
      <c r="DL17" s="87">
        <f ca="1">_xlfn.XLOOKUP(DK17,TabCalc[Ticker],TabCalc[ValueBegin])</f>
        <v>-243167</v>
      </c>
      <c r="DM17" s="87">
        <f ca="1">_xlfn.XLOOKUP(DK17,TabCalc[Ticker],TabCalc[M_V])</f>
        <v>382480</v>
      </c>
      <c r="DN17" s="87">
        <f ca="1">_xlfn.XLOOKUP(DK17,TabCalc[Ticker],TabCalc[GL])</f>
        <v>85889.049999999988</v>
      </c>
      <c r="DO17" s="90"/>
      <c r="DP17" s="90"/>
      <c r="DQ17" s="88" t="s">
        <v>14</v>
      </c>
      <c r="DR17" s="81">
        <v>1000</v>
      </c>
      <c r="DS17" s="315">
        <v>-80.2</v>
      </c>
      <c r="DU17" s="82">
        <v>111470</v>
      </c>
      <c r="DV17" s="82">
        <f ca="1">DU17-TabCalc[[#This Row],[M_V]]</f>
        <v>740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93360</v>
      </c>
      <c r="G18" s="82">
        <f ca="1">IFERROR(TabCalc[[#This Row],[SB]]-TabCalc[[#This Row],[SST]],TabCalc[[#This Row],[SB]])</f>
        <v>4000</v>
      </c>
      <c r="H18" s="532" t="str">
        <f ca="1">[1]!RTData[[#This Row],[Ticker_Symbol]]</f>
        <v>DSY</v>
      </c>
      <c r="I18" s="383">
        <f ca="1">_xlfn.XLOOKUP(TabCalc[[#This Row],[Ticker]],[1]!RTData[Ticker_Symbol],[1]!RTData[M-Price])</f>
        <v>23.34</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3.4389999999999998E-3</v>
      </c>
      <c r="N18" s="1077">
        <v>0</v>
      </c>
      <c r="O18" s="899">
        <f>TabCalc[[#This Row],[Up20]]-1+TabCalc[[#This Row],[Up20]]</f>
        <v>-1</v>
      </c>
      <c r="P18" s="899">
        <f>TabCalc[[#This Row],[Up20]]-TabCalc[[#This Row],[Up150]]</f>
        <v>0</v>
      </c>
      <c r="Q18" s="899">
        <v>0</v>
      </c>
      <c r="R18" s="899">
        <f>TabCalc[[#This Row],[Up150]]-1+TabCalc[[#This Row],[Up150]]</f>
        <v>-1</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0.1057917769149852</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-6600.0000000000018</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-3804.9999999999995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11600.000000000002</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7674.9999999999991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0</v>
      </c>
      <c r="AQ18" s="334">
        <f ca="1">_xlfn.LET(_xlpm.MVToday,DataShift!AV518,         _xlpm.MVY,DataShift!AU519,        _xlpm.MVYY, DataShift!AT519,                                IF(_xlpm.MVToday=_xlpm.MVY,_xlpm.MVY-_xlpm.MVYY,_xlpm.MVToday-_xlpm.MVY))</f>
        <v>78395</v>
      </c>
      <c r="AR18" s="334">
        <f ca="1">_xlfn.LET(_xlpm.MVToday,DataShift!AV518,         _xlpm.MVY,DataShift!AU519,        _xlpm.MVYY, DataShift!AT519,         _xlpm.MVYYY, DataShift!AS519,                      IF(_xlpm.MVToday=_xlpm.MVY,      _xlpm.MVYY-_xlpm.MVYYY,          _xlpm.MVY-_xlpm.MVYY))</f>
        <v>570</v>
      </c>
      <c r="AS18" s="984">
        <f ca="1">TabCalc[[#This Row],[Y]]/TabCalc[[#This Row],[M]]</f>
        <v>1.3658003427592118</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-0.83646150421113186</v>
      </c>
      <c r="AY18" s="82">
        <f t="shared" ca="1" si="1"/>
        <v>0</v>
      </c>
      <c r="AZ18" s="90">
        <f ca="1">_xlfn.XLOOKUP(TabCalc[[#This Row],[Ticker]],[1]!RTData[Ticker_Symbol],[1]!RTData[V/VA])</f>
        <v>0.97018179551316519</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0.97018179551316519</v>
      </c>
      <c r="BC18" s="87" cm="1">
        <f t="array" aca="1" ref="BC18" ca="1">INDEX(TabReg[], 1, _xlfn.XMATCH(TabCalc[[#This Row],[Ticker]]&amp;1, TabReg[#Headers], 0))</f>
        <v>250</v>
      </c>
      <c r="BD18" s="159">
        <f ca="1">TabCalc[[#This Row],[Nbegin]]*TabCalc[[#This Row],[M]]*TabCalc[[#This Row],[Scale]]+TabCalc[[#This Row],[ValueBegin]]</f>
        <v>5585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93110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-12487.592000000062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40.72</v>
      </c>
      <c r="BR18" s="174" t="str">
        <f ca="1">IF(TabCalc[[#This Row],[EfCost]]+TabCalc[[#This Row],[M_V]]&lt;TabCalc[[#This Row],[NoT_GL]],"Pile","")</f>
        <v>Pile</v>
      </c>
      <c r="BS18" s="165">
        <f ca="1">_xlfn.XLOOKUP(TabCalc[[#This Row],[Ticker]],[1]!RTData[Ticker_Symbol],[1]!RTData[Last trade time])</f>
        <v>45968.708333333336</v>
      </c>
      <c r="BT18" s="175">
        <f ca="1">(TabCalc[[#This Row],[ValueBegin]]+(TabCalc[[#This Row],[M]]-TabCalc[[#This Row],[A]])*TabCalc[[#This Row],[NAfter]])*TabCalc[[#This Row],[Scale]]</f>
        <v>-27180.000000000007</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-26930.000000000007</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862.06896551724128</v>
      </c>
      <c r="CV18" s="404">
        <f ca="1">IF(TabCalc[[#This Row],[ntoBuy]]*TabCalc[[#This Row],[M]]&lt;=0,0,TabCalc[[#This Row],[ntoBuy]]*TabCalc[[#This Row],[M]])</f>
        <v>20120.689655172413</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-26930.000000000007</v>
      </c>
      <c r="DB18" s="90">
        <f ca="1">IFERROR((TabCalc[[#This Row],[M]]+TabCalc[[#This Row],[L_Bp]])/ABS(TabCalc[[#This Row],[L_Bp]])/(TODAY()-TabCalc[[#This Row],[L_Bdate]])*360,"")</f>
        <v>-0.52464228934817181</v>
      </c>
      <c r="DC18" s="310">
        <f ca="1">MEDIAN(DataShift!F718:Z718)</f>
        <v>-5.306E-4</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5835</v>
      </c>
      <c r="DF18" s="87" cm="1">
        <f t="array" aca="1" ref="DF18" ca="1">SUMPRODUCT(ISNUMBER(INDIRECT("TabReg["&amp;TabCalc[[#This Row],[Ticker]]&amp;"2]"))* INDIRECT("TabReg["&amp;TabCalc[[#This Row],[Ticker]]&amp;"1]") * INDIRECT("TabReg["&amp;TabCalc[[#This Row],[Ticker]]&amp;"2]") )*TabCalc[[#This Row],[Scale]]</f>
        <v>-105847.59200000006</v>
      </c>
      <c r="DI18" s="87">
        <f ca="1"/>
        <v>489120</v>
      </c>
      <c r="DJ18" s="90">
        <f t="shared" ca="1" si="2"/>
        <v>0.62106669530355108</v>
      </c>
      <c r="DK18" t="str">
        <f ca="1">_xlfn.XLOOKUP(DI18,TabCalc[Column1],TabCalc[Ticker])</f>
        <v>SAFAMZN</v>
      </c>
      <c r="DL18" s="87">
        <f ca="1">_xlfn.XLOOKUP(DK18,TabCalc[Ticker],TabCalc[ValueBegin])</f>
        <v>-314280</v>
      </c>
      <c r="DM18" s="87">
        <f ca="1">_xlfn.XLOOKUP(DK18,TabCalc[Ticker],TabCalc[M_V])</f>
        <v>366840</v>
      </c>
      <c r="DN18" s="87">
        <f ca="1">_xlfn.XLOOKUP(DK18,TabCalc[Ticker],TabCalc[GL])</f>
        <v>195188.84100000001</v>
      </c>
      <c r="DO18" s="90"/>
      <c r="DP18" s="90"/>
      <c r="DQ18" s="88" t="s">
        <v>15</v>
      </c>
      <c r="DR18" s="81">
        <v>1889</v>
      </c>
      <c r="DS18" s="315">
        <v>-46.62</v>
      </c>
      <c r="DU18" s="82">
        <v>96160</v>
      </c>
      <c r="DV18" s="82">
        <f ca="1">DU18-TabCalc[[#This Row],[M_V]]</f>
        <v>2800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172655</v>
      </c>
      <c r="G19" s="82">
        <f ca="1">IFERROR(TabCalc[[#This Row],[SB]]-TabCalc[[#This Row],[SST]],TabCalc[[#This Row],[SB]])</f>
        <v>1400</v>
      </c>
      <c r="H19" s="532" t="str">
        <f ca="1">[1]!RTData[[#This Row],[Ticker_Symbol]]</f>
        <v>DVA</v>
      </c>
      <c r="I19" s="383">
        <f ca="1">_xlfn.XLOOKUP(TabCalc[[#This Row],[Ticker]],[1]!RTData[Ticker_Symbol],[1]!RTData[M-Price])</f>
        <v>123.325</v>
      </c>
      <c r="J19" s="382">
        <v>126.96610000000001</v>
      </c>
      <c r="K19" s="381">
        <f ca="1">_xlfn.XLOOKUP(TabCalc[[#This Row],[Ticker]],[1]!RTData[Ticker_Symbol],[1]!RTData[1YT])</f>
        <v>147.125</v>
      </c>
      <c r="L19" s="382">
        <f ca="1">IF(OR(TabCalc[[#This Row],[NAfter]]=0,TabCalc[[#This Row],[EfCost]]&gt;0),0,TabCalc[[#This Row],[EfCost]]/TabCalc[[#This Row],[NAfter]]/TabCalc[[#This Row],[Scale]])</f>
        <v>-97.213435714285751</v>
      </c>
      <c r="M19" s="732">
        <f ca="1">_xlfn.XLOOKUP(TabCalc[[#This Row],[Ticker]],[1]!RTData[Ticker_Symbol],[1]!RTData[Change%])</f>
        <v>1.477E-2</v>
      </c>
      <c r="N19" s="1077">
        <v>0</v>
      </c>
      <c r="O19" s="899">
        <f>TabCalc[[#This Row],[Up20]]-1+TabCalc[[#This Row],[Up20]]</f>
        <v>-1</v>
      </c>
      <c r="P19" s="899">
        <f>TabCalc[[#This Row],[Up20]]-TabCalc[[#This Row],[Up150]]</f>
        <v>-0.5</v>
      </c>
      <c r="Q19" s="899">
        <v>0.5</v>
      </c>
      <c r="R19" s="899">
        <f>TabCalc[[#This Row],[Up150]]-1+TabCalc[[#This Row],[Up150]]</f>
        <v>0</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-0.20546988735075217</v>
      </c>
      <c r="U19" s="1013">
        <v>1600</v>
      </c>
      <c r="V19" s="1013">
        <v>1400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6502.9999999999945</v>
      </c>
      <c r="AA19" s="208" cm="1">
        <f t="array" aca="1" ref="AA19" ca="1">_xlfn.XLOOKUP(TabCalc[[#This Row],[L_Bp]],INDIRECT("TabReg["&amp;TabCalc[[#This Row],[Ticker]]&amp;"2]"),INDIRECT("TabReg["&amp;TabCalc[[#This Row],[Ticker]]&amp;"]"))</f>
        <v>45965</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-118.68</v>
      </c>
      <c r="AD19" s="211">
        <f ca="1">IFERROR(MIN(TabCalc[[#This Row],[L_B1n]],TabCalc[[#This Row],[NAfter]])*(TabCalc[[#This Row],[M]]+TabCalc[[#This Row],[L_B1p]])*TabCalc[[#This Row],[Scale]],"")</f>
        <v>-1506.0000000000002</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19" s="179" cm="1">
        <f t="array" aca="1" ref="AF19" ca="1">IFERROR(_xlfn.XLOOKUP(TabCalc[[#This Row],[L_B1D]],INDIRECT("TabReg["&amp;TabCalc[[#This Row],[Ticker]]&amp;"]"),INDIRECT("TabReg["&amp;TabCalc[[#This Row],[Ticker]]&amp;"1]")),0)</f>
        <v>400</v>
      </c>
      <c r="AG19" s="190" cm="1">
        <f t="array" aca="1" ref="AG19" ca="1">IFERROR(_xlfn.XLOOKUP(TabCalc[[#This Row],[L_B1D]],INDIRECT("TabReg["&amp;TabCalc[[#This Row],[Ticker]]&amp;"]"),INDIRECT("TabReg["&amp;TabCalc[[#This Row],[Ticker]]&amp;"2]")),0)</f>
        <v>-127.09</v>
      </c>
      <c r="AH19" s="300">
        <f ca="1">IFERROR(TabCalc[[#This Row],[L_Sn]]*(TabCalc[[#This Row],[L_Sp]]-TabCalc[[#This Row],[M]])*TabCalc[[#This Row],[Scale]],"")</f>
        <v>183.99999999999181</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11357.999999999998</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f ca="1">_xlfn.LET(_xlpm.MVOpen,[1]!RTData[[#This Row],[Open]]*TabCalc[[#This Row],[NAfter]],_xlpm.MVNow,TabCalc[[#This Row],[M]]*TabCalc[[#This Row],[NAfter]],_xlpm.MVNow-_xlpm.MVOpen)*TabCalc[[#This Row],[Scale]]</f>
        <v>3171</v>
      </c>
      <c r="AQ19" s="334">
        <f ca="1">_xlfn.LET(_xlpm.MVToday,DataShift!AV519,         _xlpm.MVY,DataShift!AU520,        _xlpm.MVYY, DataShift!AT520,                                IF(_xlpm.MVToday=_xlpm.MVY,_xlpm.MVY-_xlpm.MVYY,_xlpm.MVToday-_xlpm.MVY))</f>
        <v>17370</v>
      </c>
      <c r="AR19" s="334">
        <f ca="1">_xlfn.LET(_xlpm.MVToday,DataShift!AV519,         _xlpm.MVY,DataShift!AU520,        _xlpm.MVYY, DataShift!AT520,         _xlpm.MVYYY, DataShift!AS520,                      IF(_xlpm.MVToday=_xlpm.MVY,      _xlpm.MVYY-_xlpm.MVYYY,          _xlpm.MVY-_xlpm.MVYY))</f>
        <v>320</v>
      </c>
      <c r="AS19" s="984">
        <f ca="1">TabCalc[[#This Row],[Y]]/TabCalc[[#This Row],[M]]</f>
        <v>1.1929860125684169</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5">
        <f ca="1">IFERROR((TabCalc[[#This Row],[M]]-TabCalc[[#This Row],[Y]])*(TabCalc[[#This Row],[M]]-TabCalc[[#This Row],[Y]])*(TabCalc[[#This Row],[M]]-TabCalc[[#This Row],[Y]])/(TabCalc[[#This Row],[Y]]*TabCalc[[#This Row],[M]]),"")</f>
        <v>-0.74300762589127578</v>
      </c>
      <c r="AY19" s="82">
        <f t="shared" ca="1" si="1"/>
        <v>0</v>
      </c>
      <c r="AZ19" s="90">
        <f ca="1">_xlfn.XLOOKUP(TabCalc[[#This Row],[Ticker]],[1]!RTData[Ticker_Symbol],[1]!RTData[V/VA])</f>
        <v>0.87413345869595827</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0.87413345869595827</v>
      </c>
      <c r="BC19" s="87" cm="1">
        <f t="array" aca="1" ref="BC19" ca="1">INDEX(TabReg[], 1, _xlfn.XMATCH(TabCalc[[#This Row],[Ticker]]&amp;1, TabReg[#Headers], 0))</f>
        <v>1000</v>
      </c>
      <c r="BD19" s="159">
        <f ca="1">TabCalc[[#This Row],[Nbegin]]*TabCalc[[#This Row],[M]]*TabCalc[[#This Row],[Scale]]+TabCalc[[#This Row],[ValueBegin]]</f>
        <v>43125</v>
      </c>
      <c r="BE19" s="334" t="str" cm="1">
        <f t="array" aca="1" ref="BE19" ca="1">_xlfn.IFS(TabCalc[[#This Row],[Cost+Gain]]&gt;0,"Free",             TabCalc[[#This Row],[GL]]&gt;0,"Gainer",                TRUE,"Looser")</f>
        <v>Gainer</v>
      </c>
      <c r="BF19" s="159">
        <f ca="1">TabCalc[[#This Row],[Tot_Paid]]-TabCalc[[#This Row],[ValueBegin]]</f>
        <v>-618843.34942999994</v>
      </c>
      <c r="BG19" s="335">
        <f ca="1">IF(TabCalc[[#This Row],[EfCost]]&gt;TabCalc[[#This Row],[ValueBegin]],       0,        TabCalc[[#This Row],[EfCost]]-TabCalc[[#This Row],[ValueBegin]]*(1+Commission))</f>
        <v>-55690.290000000066</v>
      </c>
      <c r="BH19" s="336">
        <f ca="1">TabCalc[[#This Row],[M_V]]+TabCalc[[#This Row],[ValueBegin]]</f>
        <v>92455</v>
      </c>
      <c r="BI19" s="159" cm="1">
        <f t="array" aca="1" ref="BI19" ca="1">SUMPRODUCT(_xlfn._xlws.FILTER(INDIRECT("TabReg["&amp;TabCalc[[#This Row],[Ticker]]&amp;"1]") * INDIRECT("TabReg["&amp;TabCalc[[#This Row],[Ticker]]&amp;"2]"), INDIRECT("TabReg["&amp;TabCalc[[#This Row],[Ticker]]&amp;"2]")&lt;0))*(1+Commission)*TabCalc[[#This Row],[Scale]]</f>
        <v>-699043.34942999994</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-136098.81000000006</v>
      </c>
      <c r="BL19" s="159">
        <f ca="1">TabCalc[[#This Row],[M_V]]+TabCalc[[#This Row],[EfCost]]</f>
        <v>36556.189999999944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5640</v>
      </c>
      <c r="BO19" s="159">
        <f ca="1">TabCalc[[#This Row],[SB]]-TabCalc[[#This Row],[Nbegin]]</f>
        <v>4640</v>
      </c>
      <c r="BP19" s="159" cm="1">
        <f t="array" aca="1" ref="BP19" ca="1">IFERROR(SUMPRODUCT(_xlfn._xlws.FILTER(IF(INDIRECT("TabReg["&amp;TabCalc[[#This Row],[Ticker]]&amp;"2]") ="", 0, INDIRECT("TabReg["&amp;TabCalc[[#This Row],[Ticker]]&amp;"1]")  ),  INDIRECT("TabReg["&amp;TabCalc[[#This Row],[Ticker]]&amp;"2]") &gt; 0)),0)</f>
        <v>4240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161.97</v>
      </c>
      <c r="BR19" s="174" t="str">
        <f ca="1">IF(TabCalc[[#This Row],[EfCost]]+TabCalc[[#This Row],[M_V]]&lt;TabCalc[[#This Row],[NoT_GL]],"Pile","")</f>
        <v>Pile</v>
      </c>
      <c r="BS19" s="165">
        <f ca="1">_xlfn.XLOOKUP(TabCalc[[#This Row],[Ticker]],[1]!RTData[Ticker_Symbol],[1]!RTData[Last trade time])</f>
        <v>45968.870767036722</v>
      </c>
      <c r="BT19" s="175">
        <f ca="1">(TabCalc[[#This Row],[ValueBegin]]+(TabCalc[[#This Row],[M]]-TabCalc[[#This Row],[A]])*TabCalc[[#This Row],[NAfter]])*TabCalc[[#This Row],[Scale]]</f>
        <v>-85297.540000000008</v>
      </c>
      <c r="BU19" s="187" cm="1">
        <f t="array" aca="1" ref="BU19" ca="1">_xlfn.XLOOKUP(TabCalc[[#This Row],[Ticker]],TabReg[[#Headers],[AAPL]:[UnknownX28]],Reg!B$72:KF$72)+3</f>
        <v>16</v>
      </c>
      <c r="BV19" s="188" cm="1">
        <f t="array" aca="1" ref="BV19" ca="1">_xlfn.XLOOKUP(TabCalc[[#This Row],[Ticker]],TabReg[[#Headers],[AAPL]:[UnknownX28]],Reg!B$73:KF$73)+2</f>
        <v>51</v>
      </c>
      <c r="BW19" s="189">
        <f ca="1">IFERROR(MAX(TabCalc[[#This Row],[Max_SD]],TabCalc[[#This Row],[Max_PD]]),0)</f>
        <v>45968</v>
      </c>
      <c r="BX19" s="189" t="str" cm="1">
        <f t="array" aca="1" ref="BX19" ca="1">_xlfn.LET(_xlpm.LAST_T,TabCalc[[#This Row],[L_TP]],_xlfn.IFS(_xlpm.LAST_T&lt;0,"Purchase",_xlpm.LAST_T&gt;0,"Sale"))</f>
        <v>Sale</v>
      </c>
      <c r="BY19" s="188" cm="1">
        <f t="array" aca="1" ref="BY19" ca="1">INDEX(Reg!$A$1:$KF$73,TabCalc[[#This Row],[L_I1]],TabCalc[[#This Row],[L_I2]])</f>
        <v>1600</v>
      </c>
      <c r="BZ19" s="190" cm="1">
        <f t="array" aca="1" ref="BZ19" ca="1">INDEX(Reg!$A$1:$KF$73,TabCalc[[#This Row],[L_I1]],TabCalc[[#This Row],[L_I2]]+1)</f>
        <v>123.44</v>
      </c>
      <c r="CA19" s="159">
        <f ca="1">TabCalc[[#This Row],[NAfter]]*(TabCalc[[#This Row],[M]]-IF(TabCalc[[#This Row],[E]]&gt;0,0,TabCalc[[#This Row],[A]]))</f>
        <v>-5097.5400000000118</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148.52000000000001</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45965</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43478.260869567152</v>
      </c>
      <c r="CV19" s="404">
        <f ca="1">IF(TabCalc[[#This Row],[ntoBuy]]*TabCalc[[#This Row],[M]]&lt;=0,0,TabCalc[[#This Row],[ntoBuy]]*TabCalc[[#This Row],[M]])</f>
        <v>5361956.5217393693</v>
      </c>
      <c r="CW19" s="404">
        <f ca="1">IF(TabCalc[[#This Row],[M]]&gt;ABS(TabCalc[[#This Row],[L_Bp]]),MIN(TabCalc[[#This Row],[NAfter]],DesiredSaleGain/(TabCalc[[#This Row],[M]]+TabCalc[[#This Row],[L_Bp]])),0)/TabCalc[[#This Row],[Scale]]</f>
        <v>1076.4262648008621</v>
      </c>
      <c r="CX19" s="405">
        <f ca="1">TabCalc[[#This Row],[ntoSell]]*TabCalc[[#This Row],[M]]</f>
        <v>132750.26910656632</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-5097.5400000000118</v>
      </c>
      <c r="DB19" s="90">
        <f ca="1">IFERROR((TabCalc[[#This Row],[M]]+TabCalc[[#This Row],[L_Bp]])/ABS(TabCalc[[#This Row],[L_Bp]])/(TODAY()-TabCalc[[#This Row],[L_Bdate]])*360,"")</f>
        <v>4.6966632962588433</v>
      </c>
      <c r="DC19" s="310">
        <f ca="1">MEDIAN(DataShift!F719:Z719)</f>
        <v>-1.702E-3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123325</v>
      </c>
      <c r="DF19" s="87" cm="1">
        <f t="array" aca="1" ref="DF19" ca="1">SUMPRODUCT(ISNUMBER(INDIRECT("TabReg["&amp;TabCalc[[#This Row],[Ticker]]&amp;"2]"))* INDIRECT("TabReg["&amp;TabCalc[[#This Row],[Ticker]]&amp;"1]") * INDIRECT("TabReg["&amp;TabCalc[[#This Row],[Ticker]]&amp;"2]") )*TabCalc[[#This Row],[Scale]]</f>
        <v>-136098.81000000006</v>
      </c>
      <c r="DI19" s="87">
        <f ca="1"/>
        <v>435400</v>
      </c>
      <c r="DJ19" s="90">
        <f t="shared" ca="1" si="2"/>
        <v>1.745699832607968</v>
      </c>
      <c r="DK19" t="str">
        <f ca="1">_xlfn.XLOOKUP(DI19,TabCalc[Column1],TabCalc[Ticker])</f>
        <v>ASML</v>
      </c>
      <c r="DL19" s="87">
        <f ca="1">_xlfn.XLOOKUP(DK19,TabCalc[Ticker],TabCalc[ValueBegin])</f>
        <v>-448050</v>
      </c>
      <c r="DM19" s="87">
        <f ca="1">_xlfn.XLOOKUP(DK19,TabCalc[Ticker],TabCalc[M_V])</f>
        <v>2699480</v>
      </c>
      <c r="DN19" s="87">
        <f ca="1">_xlfn.XLOOKUP(DK19,TabCalc[Ticker],TabCalc[GL])</f>
        <v>782160.81</v>
      </c>
      <c r="DO19" s="90"/>
      <c r="DP19" s="90"/>
      <c r="DQ19" s="88" t="s">
        <v>16</v>
      </c>
      <c r="DR19" s="81">
        <v>340000</v>
      </c>
      <c r="DS19" s="315">
        <v>-8.98</v>
      </c>
      <c r="DU19" s="82">
        <v>167958</v>
      </c>
      <c r="DV19" s="82">
        <f ca="1">DU19-TabCalc[[#This Row],[M_V]]</f>
        <v>-4697</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79050</v>
      </c>
      <c r="G20" s="82">
        <f ca="1">IFERROR(TabCalc[[#This Row],[SB]]-TabCalc[[#This Row],[SST]],TabCalc[[#This Row],[SB]])</f>
        <v>6000</v>
      </c>
      <c r="H20" s="532" t="str">
        <f ca="1">[1]!RTData[[#This Row],[Ticker_Symbol]]</f>
        <v>DXC</v>
      </c>
      <c r="I20" s="383">
        <f ca="1">_xlfn.XLOOKUP(TabCalc[[#This Row],[Ticker]],[1]!RTData[Ticker_Symbol],[1]!RTData[M-Price])</f>
        <v>13.175000000000001</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-3.4091000000000003E-2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-0.48076494006574938</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6,079 = $ 80,090</v>
      </c>
      <c r="Z20" s="211">
        <f ca="1">MIN(TabCalc[[#This Row],[L_Bn]],TabCalc[[#This Row],[NAfter]])*(TabCalc[[#This Row],[M]]+TabCalc[[#This Row],[L_Bp]])*TabCalc[[#This Row],[Scale]]</f>
        <v>-5219.9999999999991</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-21569.999999999993</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28580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24624.399999999994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-1950</v>
      </c>
      <c r="AQ20" s="334">
        <f ca="1">_xlfn.LET(_xlpm.MVToday,DataShift!AV520,         _xlpm.MVY,DataShift!AU521,        _xlpm.MVYY, DataShift!AT521,                                IF(_xlpm.MVToday=_xlpm.MVY,_xlpm.MVY-_xlpm.MVYY,_xlpm.MVToday-_xlpm.MVY))</f>
        <v>-79295</v>
      </c>
      <c r="AR20" s="334">
        <f ca="1">_xlfn.LET(_xlpm.MVToday,DataShift!AV520,         _xlpm.MVY,DataShift!AU521,        _xlpm.MVYY, DataShift!AT521,         _xlpm.MVYYY, DataShift!AS521,                      IF(_xlpm.MVToday=_xlpm.MVY,      _xlpm.MVYY-_xlpm.MVYYY,          _xlpm.MVY-_xlpm.MVYY))</f>
        <v>-192805</v>
      </c>
      <c r="AS20" s="984">
        <f ca="1">TabCalc[[#This Row],[Y]]/TabCalc[[#This Row],[M]]</f>
        <v>1.1005692599620494</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-1.2176683242818799E-2</v>
      </c>
      <c r="AY20" s="82">
        <f t="shared" ca="1" si="1"/>
        <v>0</v>
      </c>
      <c r="AZ20" s="90">
        <f ca="1">_xlfn.XLOOKUP(TabCalc[[#This Row],[Ticker]],[1]!RTData[Ticker_Symbol],[1]!RTData[V/VA])</f>
        <v>0.58101947699442602</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0.58101947699442602</v>
      </c>
      <c r="BC20" s="87" cm="1">
        <f t="array" aca="1" ref="BC20" ca="1">INDEX(TabReg[], 1, _xlfn.XMATCH(TabCalc[[#This Row],[Ticker]]&amp;1, TabReg[#Headers], 0))</f>
        <v>1889</v>
      </c>
      <c r="BD20" s="159">
        <f ca="1">TabCalc[[#This Row],[Nbegin]]*TabCalc[[#This Row],[M]]*TabCalc[[#This Row],[Scale]]+TabCalc[[#This Row],[ValueBegin]]</f>
        <v>-63177.604999999996</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-9015.179999999993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-48534.646999999968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30.01</v>
      </c>
      <c r="BR20" s="174" t="str">
        <f ca="1">IF(TabCalc[[#This Row],[EfCost]]+TabCalc[[#This Row],[M_V]]&lt;TabCalc[[#This Row],[NoT_GL]],"Pile","")</f>
        <v/>
      </c>
      <c r="BS20" s="165">
        <f ca="1">_xlfn.XLOOKUP(TabCalc[[#This Row],[Ticker]],[1]!RTData[Ticker_Symbol],[1]!RTData[Last trade time])</f>
        <v>45968.870783032035</v>
      </c>
      <c r="BT20" s="175">
        <f ca="1">(TabCalc[[#This Row],[ValueBegin]]+(TabCalc[[#This Row],[M]]-TabCalc[[#This Row],[A]])*TabCalc[[#This Row],[NAfter]])*TabCalc[[#This Row],[Scale]]</f>
        <v>-104070.18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-16004.999999999993</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699.79006298110573</v>
      </c>
      <c r="CV20" s="404">
        <f ca="1">IF(TabCalc[[#This Row],[ntoBuy]]*TabCalc[[#This Row],[M]]&lt;=0,0,TabCalc[[#This Row],[ntoBuy]]*TabCalc[[#This Row],[M]])</f>
        <v>9219.734079776068</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-16004.999999999993</v>
      </c>
      <c r="DB20" s="90">
        <f ca="1">IFERROR((TabCalc[[#This Row],[M]]+TabCalc[[#This Row],[L_Bp]])/ABS(TabCalc[[#This Row],[L_Bp]])/(TODAY()-TabCalc[[#This Row],[L_Bdate]])*360,"")</f>
        <v>-0.29765826955243541</v>
      </c>
      <c r="DC20" s="310">
        <f ca="1">MEDIAN(DataShift!F720:Z720)</f>
        <v>5.0299999999999997E-3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24887.575000000001</v>
      </c>
      <c r="DF20" s="87" cm="1">
        <f t="array" aca="1" ref="DF20" ca="1">SUMPRODUCT(ISNUMBER(INDIRECT("TabReg["&amp;TabCalc[[#This Row],[Ticker]]&amp;"2]"))* INDIRECT("TabReg["&amp;TabCalc[[#This Row],[Ticker]]&amp;"1]") * INDIRECT("TabReg["&amp;TabCalc[[#This Row],[Ticker]]&amp;"2]") )*TabCalc[[#This Row],[Scale]]</f>
        <v>-127584.64699999997</v>
      </c>
      <c r="DI20" s="87">
        <f ca="1"/>
        <v>435400</v>
      </c>
      <c r="DJ20" s="90">
        <f t="shared" ca="1" si="2"/>
        <v>1.745699832607968</v>
      </c>
      <c r="DK20" t="str">
        <f ca="1">_xlfn.XLOOKUP(DI20,TabCalc[Column1],TabCalc[Ticker])</f>
        <v>ASML</v>
      </c>
      <c r="DL20" s="87">
        <f ca="1">_xlfn.XLOOKUP(DK20,TabCalc[Ticker],TabCalc[ValueBegin])</f>
        <v>-448050</v>
      </c>
      <c r="DM20" s="87">
        <f ca="1">_xlfn.XLOOKUP(DK20,TabCalc[Ticker],TabCalc[M_V])</f>
        <v>2699480</v>
      </c>
      <c r="DN20" s="87">
        <f ca="1">_xlfn.XLOOKUP(DK20,TabCalc[Ticker],TabCalc[GL])</f>
        <v>782160.81</v>
      </c>
      <c r="DO20" s="90"/>
      <c r="DP20" s="90"/>
      <c r="DQ20" s="88" t="s">
        <v>17</v>
      </c>
      <c r="DR20" s="82">
        <v>17687</v>
      </c>
      <c r="DS20" s="315">
        <v>-5.5781000000000001</v>
      </c>
      <c r="DU20" s="82">
        <v>81300</v>
      </c>
      <c r="DV20" s="82">
        <f ca="1">DU20-TabCalc[[#This Row],[M_V]]</f>
        <v>2250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241575</v>
      </c>
      <c r="G21" s="82">
        <f ca="1">IFERROR(TabCalc[[#This Row],[SB]]-TabCalc[[#This Row],[SST]],TabCalc[[#This Row],[SB]])</f>
        <v>15000</v>
      </c>
      <c r="H21" s="532" t="str">
        <f ca="1">[1]!RTData[[#This Row],[Ticker_Symbol]]</f>
        <v>EOAN</v>
      </c>
      <c r="I21" s="383">
        <f ca="1">_xlfn.XLOOKUP(TabCalc[[#This Row],[Ticker]],[1]!RTData[Ticker_Symbol],[1]!RTData[M-Price])</f>
        <v>16.105</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1.555E-3</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0.17234380533007651</v>
      </c>
      <c r="U21" s="1013">
        <v>15000</v>
      </c>
      <c r="V21" s="1013">
        <v>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939.25000000001853</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6625.0000000000055</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48.000000000001819</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-762.49999999999932</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0</v>
      </c>
      <c r="AQ21" s="334">
        <f ca="1">_xlfn.LET(_xlpm.MVToday,DataShift!AV521,         _xlpm.MVY,DataShift!AU522,        _xlpm.MVYY, DataShift!AT522,                                IF(_xlpm.MVToday=_xlpm.MVY,_xlpm.MVY-_xlpm.MVYY,_xlpm.MVToday-_xlpm.MVY))</f>
        <v>93605</v>
      </c>
      <c r="AR21" s="334">
        <f ca="1">_xlfn.LET(_xlpm.MVToday,DataShift!AV521,         _xlpm.MVY,DataShift!AU522,        _xlpm.MVYY, DataShift!AT522,         _xlpm.MVYYY, DataShift!AS522,                      IF(_xlpm.MVToday=_xlpm.MVY,      _xlpm.MVYY-_xlpm.MVYYY,          _xlpm.MVY-_xlpm.MVYY))</f>
        <v>-3360</v>
      </c>
      <c r="AS21" s="984">
        <f ca="1">TabCalc[[#This Row],[Y]]/TabCalc[[#This Row],[M]]</f>
        <v>1.0505799441167338</v>
      </c>
      <c r="AT21" s="297" t="str" cm="1">
        <f t="array" aca="1" ref="AT21" ca="1">IFERROR(_xlfn.IFS(          TabCalc[[#This Row],[E]]&gt;0, "Free Trade",      TabCalc[[#This Row],[A]]&lt;MIN(TabCalc[[#This Row],[L_Sp]],TabCalc[[#This Row],[M]]), "Buy",            TabCalc[[#This Row],[M]]&lt;TabCalc[[#This Row],[L_Sp]],       "Refill",       TabCalc[[#This Row],[M]]&gt;TabCalc[[#This Row],[L_Sp]],"S_more"),"")</f>
        <v>Buy</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-1.9836573644380793E-3</v>
      </c>
      <c r="AY21" s="82">
        <f t="shared" ca="1" si="1"/>
        <v>325000</v>
      </c>
      <c r="AZ21" s="90">
        <f ca="1">_xlfn.XLOOKUP(TabCalc[[#This Row],[Ticker]],[1]!RTData[Ticker_Symbol],[1]!RTData[V/VA])</f>
        <v>1.3773604663339033E-3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1.3773604663339033E-3</v>
      </c>
      <c r="BC21" s="87" cm="1">
        <f t="array" aca="1" ref="BC21" ca="1">INDEX(TabReg[], 1, _xlfn.XMATCH(TabCalc[[#This Row],[Ticker]]&amp;1, TabReg[#Headers], 0))</f>
        <v>340000</v>
      </c>
      <c r="BD21" s="159">
        <f ca="1">TabCalc[[#This Row],[Nbegin]]*TabCalc[[#This Row],[M]]*TabCalc[[#This Row],[Scale]]+TabCalc[[#This Row],[ValueBegin]]</f>
        <v>2422500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-2811625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1167583.5</v>
      </c>
      <c r="BM21" s="159">
        <f ca="1">IF(        OR( TabCalc[[#This Row],[GL]]&gt;ABS(TabCalc[[#This Row],[EfCost]]),TabCalc[[#This Row],[NAfter]]=0),             TabCalc[[#This Row],[GL]],     0)</f>
        <v>1167583.5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45968.857638888891</v>
      </c>
      <c r="BT21" s="175">
        <f ca="1">(TabCalc[[#This Row],[ValueBegin]]+(TabCalc[[#This Row],[M]]-TabCalc[[#This Row],[A]])*TabCalc[[#This Row],[NAfter]])*TabCalc[[#This Row],[Scale]]</f>
        <v>-3051532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1668.0000000000027</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333333.33333332068</v>
      </c>
      <c r="CV21" s="404">
        <f ca="1">IF(TabCalc[[#This Row],[ntoBuy]]*TabCalc[[#This Row],[M]]&lt;=0,0,TabCalc[[#This Row],[ntoBuy]]*TabCalc[[#This Row],[M]])</f>
        <v>5368333.33333313</v>
      </c>
      <c r="CW21" s="404">
        <f ca="1">IF(TabCalc[[#This Row],[M]]&gt;ABS(TabCalc[[#This Row],[L_Bp]]),MIN(TabCalc[[#This Row],[NAfter]],DesiredSaleGain/(TabCalc[[#This Row],[M]]+TabCalc[[#This Row],[L_Bp]])),0)/TabCalc[[#This Row],[Scale]]</f>
        <v>15000</v>
      </c>
      <c r="CX21" s="405">
        <f ca="1">TabCalc[[#This Row],[ntoSell]]*TabCalc[[#This Row],[M]]</f>
        <v>241575</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1668.0000000000027</v>
      </c>
      <c r="DB21" s="90">
        <f ca="1">IFERROR((TabCalc[[#This Row],[M]]+TabCalc[[#This Row],[L_Bp]])/ABS(TabCalc[[#This Row],[L_Bp]])/(TODAY()-TabCalc[[#This Row],[L_Bdate]])*360,"")</f>
        <v>0.72942643391522632</v>
      </c>
      <c r="DC21" s="310">
        <f ca="1">MEDIAN(DataShift!F721:Z721)</f>
        <v>2.3400000000000001E-3</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5475700</v>
      </c>
      <c r="DF21" s="87" cm="1">
        <f t="array" aca="1" ref="DF21" ca="1">SUMPRODUCT(ISNUMBER(INDIRECT("TabReg["&amp;TabCalc[[#This Row],[Ticker]]&amp;"2]"))* INDIRECT("TabReg["&amp;TabCalc[[#This Row],[Ticker]]&amp;"1]") * INDIRECT("TabReg["&amp;TabCalc[[#This Row],[Ticker]]&amp;"2]") )*TabCalc[[#This Row],[Scale]]</f>
        <v>926008.5</v>
      </c>
      <c r="DI21" s="87">
        <f ca="1"/>
        <v>429099.99999999994</v>
      </c>
      <c r="DJ21" s="90">
        <f t="shared" ca="1" si="2"/>
        <v>0.10467683946488292</v>
      </c>
      <c r="DK21" t="str">
        <f ca="1">_xlfn.XLOOKUP(DI21,TabCalc[Column1],TabCalc[Ticker])</f>
        <v>MVERWE</v>
      </c>
      <c r="DL21" s="87">
        <f ca="1">_xlfn.XLOOKUP(DK21,TabCalc[Ticker],TabCalc[ValueBegin])</f>
        <v>-358800</v>
      </c>
      <c r="DM21" s="87">
        <f ca="1">_xlfn.XLOOKUP(DK21,TabCalc[Ticker],TabCalc[M_V])</f>
        <v>42.91</v>
      </c>
      <c r="DN21" s="87">
        <f ca="1">_xlfn.XLOOKUP(DK21,TabCalc[Ticker],TabCalc[GL])</f>
        <v>37558.049999999988</v>
      </c>
      <c r="DO21" s="90"/>
      <c r="DP21" s="90"/>
      <c r="DQ21" t="s">
        <v>18</v>
      </c>
      <c r="DR21" s="82">
        <v>50000</v>
      </c>
      <c r="DS21" s="315">
        <v>-9.02</v>
      </c>
      <c r="DU21" s="82">
        <v>8662.5</v>
      </c>
      <c r="DV21" s="82">
        <f ca="1">DU21-TabCalc[[#This Row],[M_V]]</f>
        <v>-232912.5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3.9040266962316265E-2</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-162525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-1.1272637308263236</v>
      </c>
      <c r="DC22" s="310">
        <f ca="1">MEDIAN(DataShift!F722:Z722)</f>
        <v>1.555E-3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422775.00000000006</v>
      </c>
      <c r="DJ22" s="90">
        <f t="shared" ca="1" si="2"/>
        <v>0.55668785806690058</v>
      </c>
      <c r="DK22" t="str">
        <f ca="1">_xlfn.XLOOKUP(DI22,TabCalc[Column1],TabCalc[Ticker])</f>
        <v>AZN</v>
      </c>
      <c r="DL22" s="87">
        <f ca="1">_xlfn.XLOOKUP(DK22,TabCalc[Ticker],TabCalc[ValueBegin])</f>
        <v>-270550</v>
      </c>
      <c r="DM22" s="87">
        <f ca="1">_xlfn.XLOOKUP(DK22,TabCalc[Ticker],TabCalc[M_V])</f>
        <v>42277.5</v>
      </c>
      <c r="DN22" s="87">
        <f ca="1">_xlfn.XLOOKUP(DK22,TabCalc[Ticker],TabCalc[GL])</f>
        <v>150611.89999999997</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706.59999999999991</v>
      </c>
      <c r="G23" s="82">
        <f ca="1">IFERROR(TabCalc[[#This Row],[SB]]-TabCalc[[#This Row],[SST]],TabCalc[[#This Row],[SB]])</f>
        <v>10</v>
      </c>
      <c r="H23" s="532" t="str">
        <f ca="1">[1]!RTData[[#This Row],[Ticker_Symbol]]</f>
        <v>GM</v>
      </c>
      <c r="I23" s="383">
        <f ca="1">_xlfn.XLOOKUP(TabCalc[[#This Row],[Ticker]],[1]!RTData[Ticker_Symbol],[1]!RTData[M-Price])</f>
        <v>70.66</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2.6438000000000003E-2</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-0.31759685925500547</v>
      </c>
      <c r="T23" s="899">
        <f ca="1">IFERROR(SUMPRODUCT(DataShift!F1515:Z1515,DataShift!F723:Z723)/SQRT(SUMPRODUCT(DataShift!F1515:Z1515,DataShift!F1515:Z1515)*SUMPRODUCT(DataShift!F723:Z723,DataShift!F723:Z723)),0)</f>
        <v>-0.14946747064128543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239.83999999999995</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271.10000000000002</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-22796.729999999992</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-23472.899999999994</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17.199999999999932</v>
      </c>
      <c r="AQ23" s="334">
        <f ca="1">_xlfn.LET(_xlpm.MVToday,DataShift!AV523,         _xlpm.MVY,DataShift!AU524,        _xlpm.MVYY, DataShift!AT524,                                IF(_xlpm.MVToday=_xlpm.MVY,_xlpm.MVY-_xlpm.MVYY,_xlpm.MVToday-_xlpm.MVY))</f>
        <v>235539</v>
      </c>
      <c r="AR23" s="334">
        <f ca="1">_xlfn.LET(_xlpm.MVToday,DataShift!AV523,         _xlpm.MVY,DataShift!AU524,        _xlpm.MVYY, DataShift!AT524,         _xlpm.MVYYY, DataShift!AS524,                      IF(_xlpm.MVToday=_xlpm.MVY,      _xlpm.MVYY-_xlpm.MVYYY,          _xlpm.MVY-_xlpm.MVYY))</f>
        <v>0</v>
      </c>
      <c r="AS23" s="984">
        <f ca="1">TabCalc[[#This Row],[Y]]/TabCalc[[#This Row],[M]]</f>
        <v>1.0352936597792246</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-3.0005451316149605E-3</v>
      </c>
      <c r="AY23" s="82">
        <f t="shared" ca="1" si="1"/>
        <v>990</v>
      </c>
      <c r="AZ23" s="90">
        <f ca="1">_xlfn.XLOOKUP(TabCalc[[#This Row],[Ticker]],[1]!RTData[Ticker_Symbol],[1]!RTData[V/VA])</f>
        <v>0.5369764209337996</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0.5369764209337996</v>
      </c>
      <c r="BC23" s="87" cm="1">
        <f t="array" aca="1" ref="BC23" ca="1">INDEX(TabReg[], 1, _xlfn.XMATCH(TabCalc[[#This Row],[Ticker]]&amp;1, TabReg[#Headers], 0))</f>
        <v>1000</v>
      </c>
      <c r="BD23" s="159">
        <f ca="1">TabCalc[[#This Row],[Nbegin]]*TabCalc[[#This Row],[M]]*TabCalc[[#This Row],[Scale]]+TabCalc[[#This Row],[ValueBegin]]</f>
        <v>33260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-36693.4</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14414.53</v>
      </c>
      <c r="BM23" s="159">
        <f ca="1">IF(        OR( TabCalc[[#This Row],[GL]]&gt;ABS(TabCalc[[#This Row],[EfCost]]),TabCalc[[#This Row],[NAfter]]=0),             TabCalc[[#This Row],[GL]],     0)</f>
        <v>14414.53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45968.870778610937</v>
      </c>
      <c r="BT23" s="175">
        <f ca="1">(TabCalc[[#This Row],[ValueBegin]]+(TabCalc[[#This Row],[M]]-TabCalc[[#This Row],[A]])*TabCalc[[#This Row],[NAfter]])*TabCalc[[#This Row],[Scale]]</f>
        <v>-37160.160000000003</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239.83999999999995</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706.59999999999991</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239.83999999999995</v>
      </c>
      <c r="DB23" s="90">
        <f ca="1">IFERROR((TabCalc[[#This Row],[M]]+TabCalc[[#This Row],[L_Bp]])/ABS(TabCalc[[#This Row],[L_Bp]])/(TODAY()-TabCalc[[#This Row],[L_Bdate]])*360,"")</f>
        <v>0.40477556254925934</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70660</v>
      </c>
      <c r="DF23" s="87" cm="1">
        <f t="array" aca="1" ref="DF23" ca="1">SUMPRODUCT(ISNUMBER(INDIRECT("TabReg["&amp;TabCalc[[#This Row],[Ticker]]&amp;"2]"))* INDIRECT("TabReg["&amp;TabCalc[[#This Row],[Ticker]]&amp;"1]") * INDIRECT("TabReg["&amp;TabCalc[[#This Row],[Ticker]]&amp;"2]") )*TabCalc[[#This Row],[Scale]]</f>
        <v>13707.93</v>
      </c>
      <c r="DI23" s="87">
        <f ca="1"/>
        <v>409690</v>
      </c>
      <c r="DJ23" s="90">
        <f t="shared" ca="1" si="2"/>
        <v>3.2606180594747123</v>
      </c>
      <c r="DK23" t="str">
        <f ca="1">_xlfn.XLOOKUP(DI23,TabCalc[Column1],TabCalc[Ticker])</f>
        <v>THC</v>
      </c>
      <c r="DL23" s="87">
        <f ca="1">_xlfn.XLOOKUP(DK23,TabCalc[Ticker],TabCalc[ValueBegin])</f>
        <v>-92140</v>
      </c>
      <c r="DM23" s="87">
        <f ca="1">_xlfn.XLOOKUP(DK23,TabCalc[Ticker],TabCalc[M_V])</f>
        <v>307267.5</v>
      </c>
      <c r="DN23" s="87">
        <f ca="1">_xlfn.XLOOKUP(DK23,TabCalc[Ticker],TabCalc[GL])</f>
        <v>300433.348</v>
      </c>
      <c r="DO23" s="90"/>
      <c r="DP23" s="90"/>
      <c r="DQ23" s="88" t="s">
        <v>20</v>
      </c>
      <c r="DR23" s="81">
        <v>12000</v>
      </c>
      <c r="DS23" s="315">
        <v>-11.16</v>
      </c>
      <c r="DU23" s="82">
        <v>668.7</v>
      </c>
      <c r="DV23" s="82">
        <f ca="1">DU23-TabCalc[[#This Row],[M_V]]</f>
        <v>-37.899999999999864</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215280</v>
      </c>
      <c r="G24" s="82">
        <f ca="1">IFERROR(TabCalc[[#This Row],[SB]]-TabCalc[[#This Row],[SST]],TabCalc[[#This Row],[SB]])</f>
        <v>9200</v>
      </c>
      <c r="H24" s="532" t="str">
        <f ca="1">[1]!RTData[[#This Row],[Ticker_Symbol]]</f>
        <v>HPE</v>
      </c>
      <c r="I24" s="383">
        <f ca="1">_xlfn.XLOOKUP(TabCalc[[#This Row],[Ticker]],[1]!RTData[Ticker_Symbol],[1]!RTData[M-Price])</f>
        <v>23.4</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0</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-0.38752427486422564</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1385.9999999999993</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-1824.0000000000036</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1296.0000000000043</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3204.0000000000018</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1196</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1.1329961538461539</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-4.8585275176131607E-2</v>
      </c>
      <c r="AY24" s="82">
        <f t="shared" ca="1" si="1"/>
        <v>2800</v>
      </c>
      <c r="AZ24" s="90">
        <f ca="1">_xlfn.XLOOKUP(TabCalc[[#This Row],[Ticker]],[1]!RTData[Ticker_Symbol],[1]!RTData[V/VA])</f>
        <v>0.50246663956149196</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0.50246663956149196</v>
      </c>
      <c r="BC24" s="87" cm="1">
        <f t="array" aca="1" ref="BC24" ca="1">INDEX(TabReg[], 1, _xlfn.XMATCH(TabCalc[[#This Row],[Ticker]]&amp;1, TabReg[#Headers], 0))</f>
        <v>12000</v>
      </c>
      <c r="BD24" s="159">
        <f ca="1">TabCalc[[#This Row],[Nbegin]]*TabCalc[[#This Row],[M]]*TabCalc[[#This Row],[Scale]]+TabCalc[[#This Row],[ValueBegin]]</f>
        <v>146880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81360</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178990</v>
      </c>
      <c r="BM24" s="159">
        <f ca="1">IF(        OR( TabCalc[[#This Row],[GL]]&gt;ABS(TabCalc[[#This Row],[EfCost]]),TabCalc[[#This Row],[NAfter]]=0),             TabCalc[[#This Row],[GL]],     0)</f>
        <v>178990</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v>
      </c>
      <c r="BR24" s="174" t="str">
        <f ca="1">IF(TabCalc[[#This Row],[EfCost]]+TabCalc[[#This Row],[M_V]]&lt;TabCalc[[#This Row],[NoT_GL]],"Pile","")</f>
        <v/>
      </c>
      <c r="BS24" s="165">
        <f ca="1">_xlfn.XLOOKUP(TabCalc[[#This Row],[Ticker]],[1]!RTData[Ticker_Symbol],[1]!RTData[Last trade time])</f>
        <v>45968.87077715234</v>
      </c>
      <c r="BT24" s="175">
        <f ca="1">(TabCalc[[#This Row],[ValueBegin]]+(TabCalc[[#This Row],[M]]-TabCalc[[#This Row],[A]])*TabCalc[[#This Row],[NAfter]])*TabCalc[[#This Row],[Scale]]</f>
        <v>-106191.83200000001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27728.167999999987</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6944.4444444444207</v>
      </c>
      <c r="CV24" s="404">
        <f ca="1">IF(TabCalc[[#This Row],[ntoBuy]]*TabCalc[[#This Row],[M]]&lt;=0,0,TabCalc[[#This Row],[ntoBuy]]*TabCalc[[#This Row],[M]])</f>
        <v>162499.99999999945</v>
      </c>
      <c r="CW24" s="404">
        <f ca="1">IF(TabCalc[[#This Row],[M]]&gt;ABS(TabCalc[[#This Row],[L_Bp]]),MIN(TabCalc[[#This Row],[NAfter]],DesiredSaleGain/(TabCalc[[#This Row],[M]]+TabCalc[[#This Row],[L_Bp]])),0)/TabCalc[[#This Row],[Scale]]</f>
        <v>6493.5064935064975</v>
      </c>
      <c r="CX24" s="405">
        <f ca="1">TabCalc[[#This Row],[ntoSell]]*TabCalc[[#This Row],[M]]</f>
        <v>151948.05194805205</v>
      </c>
      <c r="CY24" s="398">
        <f ca="1">_xlfn.LET(_xlpm.nToSell,IF(TabCalc[[#This Row],[M]]-TabCalc[[#This Row],[A]]&lt;=0,"",INT(DesiredSaleGain/(TabCalc[[#This Row],[M]]-IF(TabCalc[[#This Row],[E]]&gt;0,0,TabCalc[[#This Row],[A]])))),IF(_xlpm.nToSell&lt;=TabCalc[[#This Row],[NAfter]],_xlpm.nToSell,0))</f>
        <v>1658</v>
      </c>
      <c r="CZ24" s="336">
        <f ca="1">IFERROR(TabCalc[[#This Row],[NMA]]*TabCalc[[#This Row],[M]],"")</f>
        <v>38797.199999999997</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27728.167999999987</v>
      </c>
      <c r="DB24" s="90">
        <f ca="1">IFERROR((TabCalc[[#This Row],[M]]+TabCalc[[#This Row],[L_Bp]])/ABS(TabCalc[[#This Row],[L_Bp]])/(TODAY()-TabCalc[[#This Row],[L_Bdate]])*360,"")</f>
        <v>0.68051259390189978</v>
      </c>
      <c r="DC24" s="310">
        <f ca="1">MEDIAN(DataShift!F724:Z724)</f>
        <v>7.0630000000000007E-3</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280800</v>
      </c>
      <c r="DF24" s="87" cm="1">
        <f t="array" aca="1" ref="DF24" ca="1">SUMPRODUCT(ISNUMBER(INDIRECT("TabReg["&amp;TabCalc[[#This Row],[Ticker]]&amp;"2]"))* INDIRECT("TabReg["&amp;TabCalc[[#This Row],[Ticker]]&amp;"1]") * INDIRECT("TabReg["&amp;TabCalc[[#This Row],[Ticker]]&amp;"2]") )*TabCalc[[#This Row],[Scale]]</f>
        <v>-36290</v>
      </c>
      <c r="DI24" s="87">
        <f ca="1"/>
        <v>354625</v>
      </c>
      <c r="DJ24" s="90">
        <f t="shared" ca="1" si="2"/>
        <v>0.66162358561729928</v>
      </c>
      <c r="DK24" t="str">
        <f ca="1">_xlfn.XLOOKUP(DI24,TabCalc[Column1],TabCalc[Ticker])</f>
        <v>CSCO</v>
      </c>
      <c r="DL24" s="87">
        <f ca="1">_xlfn.XLOOKUP(DK24,TabCalc[Ticker],TabCalc[ValueBegin])</f>
        <v>-198850.00000000003</v>
      </c>
      <c r="DM24" s="87">
        <f ca="1">_xlfn.XLOOKUP(DK24,TabCalc[Ticker],TabCalc[M_V])</f>
        <v>70925</v>
      </c>
      <c r="DN24" s="87">
        <f ca="1">_xlfn.XLOOKUP(DK24,TabCalc[Ticker],TabCalc[GL])</f>
        <v>131563.84999999998</v>
      </c>
      <c r="DO24" s="90"/>
      <c r="DP24" s="90"/>
      <c r="DQ24" s="88" t="s">
        <v>21</v>
      </c>
      <c r="DR24" s="81">
        <v>1000</v>
      </c>
      <c r="DS24" s="315">
        <v>-15.7</v>
      </c>
      <c r="DU24" s="82">
        <v>216935.99999999997</v>
      </c>
      <c r="DV24" s="82">
        <f ca="1">DU24-TabCalc[[#This Row],[M_V]]</f>
        <v>1655.9999999999709</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131075</v>
      </c>
      <c r="G25" s="82">
        <f ca="1">IFERROR(TabCalc[[#This Row],[SB]]-TabCalc[[#This Row],[SST]],TabCalc[[#This Row],[SB]])</f>
        <v>5000</v>
      </c>
      <c r="H25" s="532" t="str">
        <f ca="1">[1]!RTData[[#This Row],[Ticker_Symbol]]</f>
        <v>HPQ</v>
      </c>
      <c r="I25" s="383">
        <f ca="1">_xlfn.XLOOKUP(TabCalc[[#This Row],[Ticker]],[1]!RTData[Ticker_Symbol],[1]!RTData[M-Price])</f>
        <v>26.215</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1.72E-3</v>
      </c>
      <c r="N25" s="1077">
        <v>0</v>
      </c>
      <c r="O25" s="899">
        <f>TabCalc[[#This Row],[Up20]]-1+TabCalc[[#This Row],[Up20]]</f>
        <v>-1</v>
      </c>
      <c r="P25" s="899">
        <f>TabCalc[[#This Row],[Up20]]-TabCalc[[#This Row],[Up150]]</f>
        <v>-0.36363636363636365</v>
      </c>
      <c r="Q25" s="899">
        <v>0.36363636363636365</v>
      </c>
      <c r="R25" s="899">
        <f>TabCalc[[#This Row],[Up150]]-1+TabCalc[[#This Row],[Up150]]</f>
        <v>-0.27272727272727271</v>
      </c>
      <c r="S25" s="899">
        <f ca="1">IFERROR(SUMPRODUCT(DataShift!F1517:Z1517,DataShift!AB724:AV724)/SQRT(SUMPRODUCT(DataShift!F1517:Z1517,DataShift!F1517:Z1517)*SUMPRODUCT(DataShift!AB724:AV724,DataShift!AB724:AV724)),0)</f>
        <v>-0.83412439274507932</v>
      </c>
      <c r="T25" s="899">
        <f ca="1">IFERROR(SUMPRODUCT(DataShift!F1517:Z1517,DataShift!F725:Z725)/SQRT(SUMPRODUCT(DataShift!F1517:Z1517,DataShift!F1517:Z1517)*SUMPRODUCT(DataShift!F725:Z725,DataShift!F725:Z725)),0)</f>
        <v>0.32030161403437113</v>
      </c>
      <c r="U25" s="1013">
        <v>4000</v>
      </c>
      <c r="V25" s="1013">
        <v>1000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-1315.0000000000014</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1900.0000000000057</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2725.0000000000014</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3459.9999999999936</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925</v>
      </c>
      <c r="AQ25" s="334">
        <f ca="1">_xlfn.LET(_xlpm.MVToday,DataShift!AV525,         _xlpm.MVY,DataShift!AU526,        _xlpm.MVYY, DataShift!AT526,                                IF(_xlpm.MVToday=_xlpm.MVY,_xlpm.MVY-_xlpm.MVYY,_xlpm.MVToday-_xlpm.MVY))</f>
        <v>-214573.4</v>
      </c>
      <c r="AR25" s="334">
        <f ca="1">_xlfn.LET(_xlpm.MVToday,DataShift!AV525,         _xlpm.MVY,DataShift!AU526,        _xlpm.MVYY, DataShift!AT526,         _xlpm.MVYYY, DataShift!AS526,                      IF(_xlpm.MVToday=_xlpm.MVY,      _xlpm.MVYY-_xlpm.MVYYY,          _xlpm.MVY-_xlpm.MVYY))</f>
        <v>-414</v>
      </c>
      <c r="AS25" s="984">
        <f ca="1">TabCalc[[#This Row],[Y]]/TabCalc[[#This Row],[M]]</f>
        <v>1.0788670608430289</v>
      </c>
      <c r="AT25" s="297" t="str" cm="1">
        <f t="array" aca="1" ref="AT25" ca="1">IFERROR(_xlfn.IFS(          TabCalc[[#This Row],[E]]&gt;0, "Free Trade",      TabCalc[[#This Row],[A]]&lt;MIN(TabCalc[[#This Row],[L_Sp]],TabCalc[[#This Row],[M]]), "Buy",            TabCalc[[#This Row],[M]]&lt;TabCalc[[#This Row],[L_Sp]],       "Refill",       TabCalc[[#This Row],[M]]&gt;TabCalc[[#This Row],[L_Sp]],"S_more"),"")</f>
        <v>Buy</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-1.1919798032200073E-2</v>
      </c>
      <c r="AY25" s="82">
        <f t="shared" ca="1" si="1"/>
        <v>0</v>
      </c>
      <c r="AZ25" s="90">
        <f ca="1">_xlfn.XLOOKUP(TabCalc[[#This Row],[Ticker]],[1]!RTData[Ticker_Symbol],[1]!RTData[V/VA])</f>
        <v>0.50945639164193712</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0.50945639164193712</v>
      </c>
      <c r="BC25" s="87" cm="1">
        <f t="array" aca="1" ref="BC25" ca="1">INDEX(TabReg[], 1, _xlfn.XMATCH(TabCalc[[#This Row],[Ticker]]&amp;1, TabReg[#Headers], 0))</f>
        <v>1000</v>
      </c>
      <c r="BD25" s="159">
        <f ca="1">TabCalc[[#This Row],[Nbegin]]*TabCalc[[#This Row],[M]]*TabCalc[[#This Row],[Scale]]+TabCalc[[#This Row],[ValueBegin]]</f>
        <v>10515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115375</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47119.208000000042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27.04</v>
      </c>
      <c r="BR25" s="174" t="str">
        <f ca="1">IF(TabCalc[[#This Row],[EfCost]]+TabCalc[[#This Row],[M_V]]&lt;TabCalc[[#This Row],[NoT_GL]],"Pile","")</f>
        <v/>
      </c>
      <c r="BS25" s="165">
        <f ca="1">_xlfn.XLOOKUP(TabCalc[[#This Row],[Ticker]],[1]!RTData[Ticker_Symbol],[1]!RTData[Last trade time])</f>
        <v>45968.870794895316</v>
      </c>
      <c r="BT25" s="175">
        <f ca="1">(TabCalc[[#This Row],[ValueBegin]]+(TabCalc[[#This Row],[M]]-TabCalc[[#This Row],[A]])*TabCalc[[#This Row],[NAfter]])*TabCalc[[#This Row],[Scale]]</f>
        <v>-15114.999999999996</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585.00000000000443</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1834.8623853211</v>
      </c>
      <c r="CV25" s="404">
        <f ca="1">IF(TabCalc[[#This Row],[ntoBuy]]*TabCalc[[#This Row],[M]]&lt;=0,0,TabCalc[[#This Row],[ntoBuy]]*TabCalc[[#This Row],[M]])</f>
        <v>48100.917431192633</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585.00000000000443</v>
      </c>
      <c r="DB25" s="90">
        <f ca="1">IFERROR((TabCalc[[#This Row],[M]]+TabCalc[[#This Row],[L_Bp]])/ABS(TabCalc[[#This Row],[L_Bp]])/(TODAY()-TabCalc[[#This Row],[L_Bdate]])*360,"")</f>
        <v>-0.78162665521910057</v>
      </c>
      <c r="DC25" s="310">
        <f ca="1">MEDIAN(DataShift!F725:Z725)</f>
        <v>5.3559999999999997E-3</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26215</v>
      </c>
      <c r="DF25" s="87" cm="1">
        <f t="array" aca="1" ref="DF25" ca="1">SUMPRODUCT(ISNUMBER(INDIRECT("TabReg["&amp;TabCalc[[#This Row],[Ticker]]&amp;"2]"))* INDIRECT("TabReg["&amp;TabCalc[[#This Row],[Ticker]]&amp;"1]") * INDIRECT("TabReg["&amp;TabCalc[[#This Row],[Ticker]]&amp;"2]") )*TabCalc[[#This Row],[Scale]]</f>
        <v>-83955.791999999958</v>
      </c>
      <c r="DI25" s="87">
        <f ca="1"/>
        <v>351582</v>
      </c>
      <c r="DJ25" s="90">
        <f t="shared" ca="1" si="2"/>
        <v>0.2195368019899516</v>
      </c>
      <c r="DK25" t="str">
        <f ca="1">_xlfn.XLOOKUP(DI25,TabCalc[Column1],TabCalc[Ticker])</f>
        <v>NEE</v>
      </c>
      <c r="DL25" s="87">
        <f ca="1">_xlfn.XLOOKUP(DK25,TabCalc[Ticker],TabCalc[ValueBegin])</f>
        <v>-303902.86</v>
      </c>
      <c r="DM25" s="87">
        <f ca="1">_xlfn.XLOOKUP(DK25,TabCalc[Ticker],TabCalc[M_V])</f>
        <v>83.71</v>
      </c>
      <c r="DN25" s="87">
        <f ca="1">_xlfn.XLOOKUP(DK25,TabCalc[Ticker],TabCalc[GL])</f>
        <v>66717.861999999979</v>
      </c>
      <c r="DO25" s="90"/>
      <c r="DP25" s="90"/>
      <c r="DQ25" s="88" t="s">
        <v>22</v>
      </c>
      <c r="DR25" s="81">
        <v>500000</v>
      </c>
      <c r="DS25" s="315">
        <v>-157</v>
      </c>
      <c r="DU25" s="82">
        <v>129725</v>
      </c>
      <c r="DV25" s="82">
        <f ca="1">DU25-TabCalc[[#This Row],[M_V]]</f>
        <v>-1350</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402820</v>
      </c>
      <c r="G26" s="82">
        <f ca="1">IFERROR(TabCalc[[#This Row],[SB]]-TabCalc[[#This Row],[SST]],TabCalc[[#This Row],[SB]])</f>
        <v>110000</v>
      </c>
      <c r="H26" s="532" t="str">
        <f ca="1">[1]!RTData[[#This Row],[Ticker_Symbol]]</f>
        <v>IAG</v>
      </c>
      <c r="I26" s="383">
        <f ca="1">_xlfn.XLOOKUP(TabCalc[[#This Row],[Ticker]],[1]!RTData[Ticker_Symbol],[1]!RTData[M-Price])</f>
        <v>366.2</v>
      </c>
      <c r="J26" s="382">
        <v>250.59844615384614</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-0.115673</v>
      </c>
      <c r="N26" s="1077">
        <v>0</v>
      </c>
      <c r="O26" s="899">
        <f>TabCalc[[#This Row],[Up20]]-1+TabCalc[[#This Row],[Up20]]</f>
        <v>-1</v>
      </c>
      <c r="P26" s="899">
        <f>TabCalc[[#This Row],[Up20]]-TabCalc[[#This Row],[Up150]]</f>
        <v>-0.52173913043478259</v>
      </c>
      <c r="Q26" s="899">
        <v>0.52173913043478259</v>
      </c>
      <c r="R26" s="899">
        <f>TabCalc[[#This Row],[Up150]]-1+TabCalc[[#This Row],[Up150]]</f>
        <v>4.3478260869565188E-2</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8.6208522950375135E-2</v>
      </c>
      <c r="U26" s="1013">
        <v>130000</v>
      </c>
      <c r="V26" s="1013">
        <v>0</v>
      </c>
      <c r="W26" s="1013">
        <v>0</v>
      </c>
      <c r="X26" s="899"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23437.599999999995</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16344.420000000002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2762.0000000000005</v>
      </c>
      <c r="AI26" s="208" cm="1">
        <f t="array" aca="1" ref="AI26" ca="1">IFERROR(_xlfn.XLOOKUP(TabCalc[[#This Row],[L_Sp]],INDIRECT("TabReg["&amp;TabCalc[[#This Row],[Ticker]]&amp;"2]"),INDIRECT("TabReg["&amp;TabCalc[[#This Row],[Ticker]]&amp;"]")),0)</f>
        <v>45968</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380.01</v>
      </c>
      <c r="AL26" s="212">
        <f ca="1">IFERROR(TabCalc[[#This Row],[L_S1n]]*(TabCalc[[#This Row],[L_S1p]]-TabCalc[[#This Row],[M]])*TabCalc[[#This Row],[Scale]],0)</f>
        <v>11780.000000000007</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425.1</v>
      </c>
      <c r="AP26" s="334">
        <f ca="1">_xlfn.LET(_xlpm.MVOpen,[1]!RTData[[#This Row],[Open]]*TabCalc[[#This Row],[NAfter]],_xlpm.MVNow,TabCalc[[#This Row],[M]]*TabCalc[[#This Row],[NAfter]],_xlpm.MVNow-_xlpm.MVOpen)*TabCalc[[#This Row],[Scale]]</f>
        <v>-23980</v>
      </c>
      <c r="AQ26" s="334">
        <f ca="1">_xlfn.LET(_xlpm.MVToday,DataShift!AV526,         _xlpm.MVY,DataShift!AU527,        _xlpm.MVYY, DataShift!AT527,                                IF(_xlpm.MVToday=_xlpm.MVY,_xlpm.MVY-_xlpm.MVYY,_xlpm.MVToday-_xlpm.MVY))</f>
        <v>84205</v>
      </c>
      <c r="AR26" s="334">
        <f ca="1">_xlfn.LET(_xlpm.MVToday,DataShift!AV526,         _xlpm.MVY,DataShift!AU527,        _xlpm.MVYY, DataShift!AT527,         _xlpm.MVYYY, DataShift!AS527,                      IF(_xlpm.MVToday=_xlpm.MVY,      _xlpm.MVYY-_xlpm.MVYYY,          _xlpm.MVY-_xlpm.MVYY))</f>
        <v>175</v>
      </c>
      <c r="AS26" s="984">
        <f ca="1">TabCalc[[#This Row],[Y]]/TabCalc[[#This Row],[M]]</f>
        <v>1.2673244128891317</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-390000</v>
      </c>
      <c r="AX26" s="305">
        <f ca="1">IFERROR((TabCalc[[#This Row],[M]]-TabCalc[[#This Row],[Y]])*(TabCalc[[#This Row],[M]]-TabCalc[[#This Row],[Y]])*(TabCalc[[#This Row],[M]]-TabCalc[[#This Row],[Y]])/(TabCalc[[#This Row],[Y]]*TabCalc[[#This Row],[M]]),"")</f>
        <v>-5.5200931208260364</v>
      </c>
      <c r="AY26" s="82">
        <f t="shared" ca="1" si="1"/>
        <v>390000</v>
      </c>
      <c r="AZ26" s="90">
        <f ca="1">_xlfn.XLOOKUP(TabCalc[[#This Row],[Ticker]],[1]!RTData[Ticker_Symbol],[1]!RTData[V/VA])</f>
        <v>3.8509130711539581</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3.8509130711539581</v>
      </c>
      <c r="BC26" s="87" cm="1">
        <f t="array" aca="1" ref="BC26" ca="1">INDEX(TabReg[], 1, _xlfn.XMATCH(TabCalc[[#This Row],[Ticker]]&amp;1, TabReg[#Headers], 0))</f>
        <v>500000</v>
      </c>
      <c r="BD26" s="159">
        <f ca="1">TabCalc[[#This Row],[Nbegin]]*TabCalc[[#This Row],[M]]*TabCalc[[#This Row],[Scale]]+TabCalc[[#This Row],[ValueBegin]]</f>
        <v>1046000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-382180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2315102.68921754</v>
      </c>
      <c r="BK26" s="159" cm="1">
        <f t="array" aca="1" ref="BK26" ca="1">SUMPRODUCT(ISNUMBER(INDIRECT("TabReg["&amp;TabCalc[[#This Row],[Ticker]]&amp;"2]"))* INDIRECT("TabReg["&amp;TabCalc[[#This Row],[Ticker]]&amp;"1]") * INDIRECT("TabReg["&amp;TabCalc[[#This Row],[Ticker]]&amp;"2]") )*TabCalc[[#This Row],[Scale]]</f>
        <v>729480.66710000008</v>
      </c>
      <c r="BL26" s="159">
        <f ca="1">TabCalc[[#This Row],[M_V]]+TabCalc[[#This Row],[EfCost]]</f>
        <v>1132300.6671000002</v>
      </c>
      <c r="BM26" s="159">
        <f ca="1">IF(        OR( TabCalc[[#This Row],[GL]]&gt;ABS(TabCalc[[#This Row],[EfCost]]),TabCalc[[#This Row],[NAfter]]=0),             TabCalc[[#This Row],[GL]],     0)</f>
        <v>1132300.6671000002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810000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45968.676040161721</v>
      </c>
      <c r="BT26" s="175">
        <f ca="1">(TabCalc[[#This Row],[ValueBegin]]+(TabCalc[[#This Row],[M]]-TabCalc[[#This Row],[A]])*TabCalc[[#This Row],[NAfter]])*TabCalc[[#This Row],[Scale]]</f>
        <v>119311.70923076924</v>
      </c>
      <c r="BU26" s="187" cm="1">
        <f t="array" aca="1" ref="BU26" ca="1">_xlfn.XLOOKUP(TabCalc[[#This Row],[Ticker]],TabReg[[#Headers],[AAPL]:[UnknownX28]],Reg!B$72:KF$72)+3</f>
        <v>53</v>
      </c>
      <c r="BV26" s="188" cm="1">
        <f t="array" aca="1" ref="BV26" ca="1">_xlfn.XLOOKUP(TabCalc[[#This Row],[Ticker]],TabReg[[#Headers],[AAPL]:[UnknownX28]],Reg!B$73:KF$73)+2</f>
        <v>72</v>
      </c>
      <c r="BW26" s="189">
        <f ca="1">IFERROR(MAX(TabCalc[[#This Row],[Max_SD]],TabCalc[[#This Row],[Max_PD]]),0)</f>
        <v>45968</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380.01</v>
      </c>
      <c r="CA26" s="159">
        <f ca="1">TabCalc[[#This Row],[NAfter]]*(TabCalc[[#This Row],[M]]-IF(TabCalc[[#This Row],[E]]&gt;0,0,TabCalc[[#This Row],[A]]))</f>
        <v>12716170.923076924</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45968</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362.05648081100645</v>
      </c>
      <c r="CV26" s="404">
        <f ca="1">IF(TabCalc[[#This Row],[ntoBuy]]*TabCalc[[#This Row],[M]]&lt;=0,0,TabCalc[[#This Row],[ntoBuy]]*TabCalc[[#This Row],[M]])</f>
        <v>132585.08327299057</v>
      </c>
      <c r="CW26" s="404">
        <f ca="1">IF(TabCalc[[#This Row],[M]]&gt;ABS(TabCalc[[#This Row],[L_Bp]]),MIN(TabCalc[[#This Row],[NAfter]],DesiredSaleGain/(TabCalc[[#This Row],[M]]+TabCalc[[#This Row],[L_Bp]])),0)/TabCalc[[#This Row],[Scale]]</f>
        <v>4266.6484622998942</v>
      </c>
      <c r="CX26" s="405">
        <f ca="1">TabCalc[[#This Row],[ntoSell]]*TabCalc[[#This Row],[M]]</f>
        <v>1562446.6668942212</v>
      </c>
      <c r="CY26" s="398">
        <f ca="1">_xlfn.LET(_xlpm.nToSell,IF(TabCalc[[#This Row],[M]]-TabCalc[[#This Row],[A]]&lt;=0,"",INT(DesiredSaleGain/(TabCalc[[#This Row],[M]]-IF(TabCalc[[#This Row],[E]]&gt;0,0,TabCalc[[#This Row],[A]])))),IF(_xlpm.nToSell&lt;=TabCalc[[#This Row],[NAfter]],_xlpm.nToSell,0))</f>
        <v>43</v>
      </c>
      <c r="CZ26" s="336">
        <f ca="1">IFERROR(TabCalc[[#This Row],[NMA]]*TabCalc[[#This Row],[M]],"")</f>
        <v>15746.6</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127161.70923076924</v>
      </c>
      <c r="DB26" s="90">
        <f ca="1">IFERROR((TabCalc[[#This Row],[M]]+TabCalc[[#This Row],[L_Bp]])/ABS(TabCalc[[#This Row],[L_Bp]])/(TODAY()-TabCalc[[#This Row],[L_Bdate]])*360,"")</f>
        <v>0.7700921313759248</v>
      </c>
      <c r="DC26" s="310">
        <f ca="1">MEDIAN(DataShift!F726:Z726)</f>
        <v>1.72E-3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1831000</v>
      </c>
      <c r="DF26" s="87" cm="1">
        <f t="array" aca="1" ref="DF26" ca="1">SUMPRODUCT(ISNUMBER(INDIRECT("TabReg["&amp;TabCalc[[#This Row],[Ticker]]&amp;"2]"))* INDIRECT("TabReg["&amp;TabCalc[[#This Row],[Ticker]]&amp;"1]") * INDIRECT("TabReg["&amp;TabCalc[[#This Row],[Ticker]]&amp;"2]") )*TabCalc[[#This Row],[Scale]]</f>
        <v>729480.66710000008</v>
      </c>
      <c r="DI26" s="87">
        <f ca="1"/>
        <v>324525</v>
      </c>
      <c r="DJ26" s="90">
        <f t="shared" ca="1" si="2"/>
        <v>0.56678666291502522</v>
      </c>
      <c r="DK26" t="str">
        <f ca="1">_xlfn.XLOOKUP(DI26,TabCalc[Column1],TabCalc[Ticker])</f>
        <v>KR</v>
      </c>
      <c r="DL26" s="87">
        <f ca="1">_xlfn.XLOOKUP(DK26,TabCalc[Ticker],TabCalc[ValueBegin])</f>
        <v>-177700</v>
      </c>
      <c r="DM26" s="87">
        <f ca="1">_xlfn.XLOOKUP(DK26,TabCalc[Ticker],TabCalc[M_V])</f>
        <v>389430</v>
      </c>
      <c r="DN26" s="87">
        <f ca="1">_xlfn.XLOOKUP(DK26,TabCalc[Ticker],TabCalc[GL])</f>
        <v>100717.98999999999</v>
      </c>
      <c r="DO26" s="90"/>
      <c r="DP26" s="90"/>
      <c r="DQ26" s="88" t="s">
        <v>23</v>
      </c>
      <c r="DR26" s="81">
        <v>5000</v>
      </c>
      <c r="DS26" s="315">
        <v>-35.54</v>
      </c>
      <c r="DU26" s="82">
        <v>802940</v>
      </c>
      <c r="DV26" s="82">
        <f ca="1">DU26-TabCalc[[#This Row],[M_V]]</f>
        <v>400120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389430</v>
      </c>
      <c r="G27" s="82">
        <f ca="1">IFERROR(TabCalc[[#This Row],[SB]]-TabCalc[[#This Row],[SST]],TabCalc[[#This Row],[SB]])</f>
        <v>6000</v>
      </c>
      <c r="H27" s="532" t="str">
        <f ca="1">[1]!RTData[[#This Row],[Ticker_Symbol]]</f>
        <v>KR</v>
      </c>
      <c r="I27" s="383">
        <f ca="1">_xlfn.XLOOKUP(TabCalc[[#This Row],[Ticker]],[1]!RTData[Ticker_Symbol],[1]!RTData[M-Price])</f>
        <v>64.905000000000001</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2.3254E-2</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0.29951369950996848</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2430.0000000000068</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-2090.0000000000036</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-4.9999999999954525</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6914.9999999999918</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6600</v>
      </c>
      <c r="AQ27" s="334">
        <f ca="1">_xlfn.LET(_xlpm.MVToday,DataShift!AV527,         _xlpm.MVY,DataShift!AU528,        _xlpm.MVYY, DataShift!AT528,                                IF(_xlpm.MVToday=_xlpm.MVY,_xlpm.MVY-_xlpm.MVYY,_xlpm.MVToday-_xlpm.MVY))</f>
        <v>-271745</v>
      </c>
      <c r="AR27" s="334">
        <f ca="1">_xlfn.LET(_xlpm.MVToday,DataShift!AV527,         _xlpm.MVY,DataShift!AU528,        _xlpm.MVYY, DataShift!AT528,         _xlpm.MVYYY, DataShift!AS528,                      IF(_xlpm.MVToday=_xlpm.MVY,      _xlpm.MVYY-_xlpm.MVYYY,          _xlpm.MVY-_xlpm.MVYY))</f>
        <v>-135510</v>
      </c>
      <c r="AS27" s="984">
        <f ca="1">TabCalc[[#This Row],[Y]]/TabCalc[[#This Row],[M]]</f>
        <v>1.1716424004313997</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-0.28012818857723704</v>
      </c>
      <c r="AY27" s="82">
        <f t="shared" ca="1" si="1"/>
        <v>0</v>
      </c>
      <c r="AZ27" s="90">
        <f ca="1">_xlfn.XLOOKUP(TabCalc[[#This Row],[Ticker]],[1]!RTData[Ticker_Symbol],[1]!RTData[V/VA])</f>
        <v>0.85989897177837271</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0.85989897177837271</v>
      </c>
      <c r="BC27" s="87" cm="1">
        <f t="array" aca="1" ref="BC27" ca="1">INDEX(TabReg[], 1, _xlfn.XMATCH(TabCalc[[#This Row],[Ticker]]&amp;1, TabReg[#Headers], 0))</f>
        <v>5000</v>
      </c>
      <c r="BD27" s="159">
        <f ca="1">TabCalc[[#This Row],[Nbegin]]*TabCalc[[#This Row],[M]]*TabCalc[[#This Row],[Scale]]+TabCalc[[#This Row],[ValueBegin]]</f>
        <v>146825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211730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100717.98999999999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45968.870795508592</v>
      </c>
      <c r="BT27" s="175">
        <f ca="1">(TabCalc[[#This Row],[ValueBegin]]+(TabCalc[[#This Row],[M]]-TabCalc[[#This Row],[A]])*TabCalc[[#This Row],[NAfter]])*TabCalc[[#This Row],[Scale]]</f>
        <v>-189366.57142857145</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-11666.571428571444</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4115.2263374485483</v>
      </c>
      <c r="CX27" s="405">
        <f ca="1">TabCalc[[#This Row],[ntoSell]]*TabCalc[[#This Row],[M]]</f>
        <v>267098.76543209801</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-11666.571428571444</v>
      </c>
      <c r="DB27" s="90">
        <f ca="1">IFERROR((TabCalc[[#This Row],[M]]+TabCalc[[#This Row],[L_Bp]])/ABS(TabCalc[[#This Row],[L_Bp]])/(TODAY()-TabCalc[[#This Row],[L_Bdate]])*360,"")</f>
        <v>2.2892133772962855</v>
      </c>
      <c r="DC27" s="310">
        <f ca="1">MEDIAN(DataShift!F727:Z727)</f>
        <v>-4.8999999999999998E-4</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324525</v>
      </c>
      <c r="DF27" s="87" cm="1">
        <f t="array" aca="1" ref="DF27" ca="1">SUMPRODUCT(ISNUMBER(INDIRECT("TabReg["&amp;TabCalc[[#This Row],[Ticker]]&amp;"2]"))* INDIRECT("TabReg["&amp;TabCalc[[#This Row],[Ticker]]&amp;"1]") * INDIRECT("TabReg["&amp;TabCalc[[#This Row],[Ticker]]&amp;"2]") )*TabCalc[[#This Row],[Scale]]</f>
        <v>-288712.01</v>
      </c>
      <c r="DI27" s="87">
        <f ca="1"/>
        <v>323475</v>
      </c>
      <c r="DJ27" s="90">
        <f t="shared" ca="1" si="2"/>
        <v>-6.3737412057701254E-2</v>
      </c>
      <c r="DK27" t="str">
        <f ca="1">_xlfn.XLOOKUP(DI27,TabCalc[Column1],TabCalc[Ticker])</f>
        <v>SAP</v>
      </c>
      <c r="DL27" s="87">
        <f ca="1">_xlfn.XLOOKUP(DK27,TabCalc[Ticker],TabCalc[ValueBegin])</f>
        <v>-139573.04999999999</v>
      </c>
      <c r="DM27" s="87">
        <f ca="1">_xlfn.XLOOKUP(DK27,TabCalc[Ticker],TabCalc[M_V])</f>
        <v>819470</v>
      </c>
      <c r="DN27" s="87">
        <f ca="1">_xlfn.XLOOKUP(DK27,TabCalc[Ticker],TabCalc[GL])</f>
        <v>-8896.0250000001397</v>
      </c>
      <c r="DO27" s="90"/>
      <c r="DP27" s="90"/>
      <c r="DQ27" s="88" t="s">
        <v>24</v>
      </c>
      <c r="DR27" s="81">
        <v>2276</v>
      </c>
      <c r="DS27" s="315">
        <v>-17.760724956063267</v>
      </c>
      <c r="DU27" s="82">
        <v>318750</v>
      </c>
      <c r="DV27" s="82">
        <f ca="1">DU27-TabCalc[[#This Row],[M_V]]</f>
        <v>-70680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10.63</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-7.0804000000000006E-2</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-0.11026009191863048</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-6510</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-12898.092000000002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13390</v>
      </c>
      <c r="AR28" s="334">
        <f ca="1">_xlfn.LET(_xlpm.MVToday,DataShift!AV528,         _xlpm.MVY,DataShift!AU529,        _xlpm.MVYY, DataShift!AT529,         _xlpm.MVYYY, DataShift!AS529,                      IF(_xlpm.MVToday=_xlpm.MVY,      _xlpm.MVYY-_xlpm.MVYYY,          _xlpm.MVY-_xlpm.MVYY))</f>
        <v>-54370</v>
      </c>
      <c r="AS28" s="984">
        <f ca="1">TabCalc[[#This Row],[Y]]/TabCalc[[#This Row],[M]]</f>
        <v>1.4111006585136405</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-0.52338321103794272</v>
      </c>
      <c r="AY28" s="82">
        <f t="shared" ca="1" si="1"/>
        <v>2276</v>
      </c>
      <c r="AZ28" s="90">
        <f ca="1">_xlfn.XLOOKUP(TabCalc[[#This Row],[Ticker]],[1]!RTData[Ticker_Symbol],[1]!RTData[V/VA])</f>
        <v>2.7624119502200064</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2.7624119502200064</v>
      </c>
      <c r="BC28" s="87" cm="1">
        <f t="array" aca="1" ref="BC28" ca="1">INDEX(TabReg[], 1, _xlfn.XMATCH(TabCalc[[#This Row],[Ticker]]&amp;1, TabReg[#Headers], 0))</f>
        <v>2276</v>
      </c>
      <c r="BD28" s="159">
        <f ca="1">TabCalc[[#This Row],[Nbegin]]*TabCalc[[#This Row],[M]]*TabCalc[[#This Row],[Scale]]+TabCalc[[#This Row],[ValueBegin]]</f>
        <v>-16229.529999999995</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45968.870632685153</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0.4792038150528718</v>
      </c>
      <c r="DC28" s="310">
        <f ca="1">MEDIAN(DataShift!F728:Z728)</f>
        <v>8.7460000000000001E-4</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24193.88</v>
      </c>
      <c r="DF28" s="87" cm="1">
        <f t="array" aca="1" ref="DF28" ca="1">SUMPRODUCT(ISNUMBER(INDIRECT("TabReg["&amp;TabCalc[[#This Row],[Ticker]]&amp;"2]"))* INDIRECT("TabReg["&amp;TabCalc[[#This Row],[Ticker]]&amp;"1]") * INDIRECT("TabReg["&amp;TabCalc[[#This Row],[Ticker]]&amp;"2]") )*TabCalc[[#This Row],[Scale]]</f>
        <v>-16028.984799999995</v>
      </c>
      <c r="DI28" s="87">
        <f ca="1"/>
        <v>322100</v>
      </c>
      <c r="DJ28" s="90">
        <f t="shared" ca="1" si="2"/>
        <v>8.191882227426027E-2</v>
      </c>
      <c r="DK28" t="str">
        <f ca="1">_xlfn.XLOOKUP(DI28,TabCalc[Column1],TabCalc[Ticker])</f>
        <v>MVEEOAN</v>
      </c>
      <c r="DL28" s="87">
        <f ca="1">_xlfn.XLOOKUP(DK28,TabCalc[Ticker],TabCalc[ValueBegin])</f>
        <v>-221206</v>
      </c>
      <c r="DM28" s="87">
        <f ca="1">_xlfn.XLOOKUP(DK28,TabCalc[Ticker],TabCalc[M_V])</f>
        <v>161.05000000000001</v>
      </c>
      <c r="DN28" s="87">
        <f ca="1">_xlfn.XLOOKUP(DK28,TabCalc[Ticker],TabCalc[GL])</f>
        <v>18120.935000000016</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104.85</v>
      </c>
      <c r="G29" s="82">
        <f ca="1">IFERROR(TabCalc[[#This Row],[SB]]-TabCalc[[#This Row],[SST]],TabCalc[[#This Row],[SB]])</f>
        <v>10</v>
      </c>
      <c r="H29" s="532" t="str">
        <f ca="1">[1]!RTData[[#This Row],[Ticker_Symbol]]</f>
        <v>LUMN</v>
      </c>
      <c r="I29" s="383">
        <f ca="1">_xlfn.XLOOKUP(TabCalc[[#This Row],[Ticker]],[1]!RTData[Ticker_Symbol],[1]!RTData[M-Price])</f>
        <v>10.484999999999999</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-4.1589999999999995E-2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0.34525195957724925</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54.166999999999994</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75.049999999999983</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-3648.1499999999996</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-4925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-3.9500000000000171</v>
      </c>
      <c r="AQ29" s="334">
        <f ca="1">_xlfn.LET(_xlpm.MVToday,DataShift!AV529,         _xlpm.MVY,DataShift!AU530,        _xlpm.MVYY, DataShift!AT530,                                IF(_xlpm.MVToday=_xlpm.MVY,_xlpm.MVY-_xlpm.MVYY,_xlpm.MVToday-_xlpm.MVY))</f>
        <v>389430</v>
      </c>
      <c r="AR29" s="334">
        <f ca="1">_xlfn.LET(_xlpm.MVToday,DataShift!AV529,         _xlpm.MVY,DataShift!AU530,        _xlpm.MVYY, DataShift!AT530,         _xlpm.MVYYY, DataShift!AS530,                      IF(_xlpm.MVToday=_xlpm.MVY,      _xlpm.MVYY-_xlpm.MVYYY,          _xlpm.MVY-_xlpm.MVYY))</f>
        <v>0</v>
      </c>
      <c r="AS29" s="984">
        <f ca="1">TabCalc[[#This Row],[Y]]/TabCalc[[#This Row],[M]]</f>
        <v>0.56824034334763951</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1.4851234301051564</v>
      </c>
      <c r="AY29" s="82">
        <f t="shared" ca="1" si="1"/>
        <v>1990</v>
      </c>
      <c r="AZ29" s="90">
        <f ca="1">_xlfn.XLOOKUP(TabCalc[[#This Row],[Ticker]],[1]!RTData[Ticker_Symbol],[1]!RTData[V/VA])</f>
        <v>0.77531527078625462</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0.77531527078625462</v>
      </c>
      <c r="BC29" s="87" cm="1">
        <f t="array" aca="1" ref="BC29" ca="1">INDEX(TabReg[], 1, _xlfn.XMATCH(TabCalc[[#This Row],[Ticker]]&amp;1, TabReg[#Headers], 0))</f>
        <v>2000</v>
      </c>
      <c r="BD29" s="159">
        <f ca="1">TabCalc[[#This Row],[Nbegin]]*TabCalc[[#This Row],[M]]*TabCalc[[#This Row],[Scale]]+TabCalc[[#This Row],[ValueBegin]]</f>
        <v>-33783.100000000006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-54648.250000000007</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14795.75</v>
      </c>
      <c r="BM29" s="159">
        <f ca="1">IF(        OR( TabCalc[[#This Row],[GL]]&gt;ABS(TabCalc[[#This Row],[EfCost]]),TabCalc[[#This Row],[NAfter]]=0),             TabCalc[[#This Row],[GL]],     0)</f>
        <v>14795.75</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45968.870787488282</v>
      </c>
      <c r="BT29" s="175">
        <f ca="1">(TabCalc[[#This Row],[ValueBegin]]+(TabCalc[[#This Row],[M]]-TabCalc[[#This Row],[A]])*TabCalc[[#This Row],[NAfter]])*TabCalc[[#This Row],[Scale]]</f>
        <v>-54698.933000000005</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54.166999999999994</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104.85</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54.166999999999994</v>
      </c>
      <c r="DB29" s="90">
        <f ca="1">IFERROR((TabCalc[[#This Row],[M]]+TabCalc[[#This Row],[L_Bp]])/ABS(TabCalc[[#This Row],[L_Bp]])/(TODAY()-TabCalc[[#This Row],[L_Bdate]])*360,"")</f>
        <v>1.3547421100999781</v>
      </c>
      <c r="DC29" s="310">
        <f ca="1">MEDIAN(DataShift!F729:Z729)</f>
        <v>-3.2629999999999998E-3</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20970</v>
      </c>
      <c r="DF29" s="87" cm="1">
        <f t="array" aca="1" ref="DF29" ca="1">SUMPRODUCT(ISNUMBER(INDIRECT("TabReg["&amp;TabCalc[[#This Row],[Ticker]]&amp;"2]"))* INDIRECT("TabReg["&amp;TabCalc[[#This Row],[Ticker]]&amp;"1]") * INDIRECT("TabReg["&amp;TabCalc[[#This Row],[Ticker]]&amp;"2]") )*TabCalc[[#This Row],[Scale]]</f>
        <v>14690.9</v>
      </c>
      <c r="DI29" s="87">
        <f ca="1"/>
        <v>308124.18</v>
      </c>
      <c r="DJ29" s="90">
        <f t="shared" ca="1" si="2"/>
        <v>-0.52906114470687327</v>
      </c>
      <c r="DK29" t="str">
        <f ca="1">_xlfn.XLOOKUP(DI29,TabCalc[Column1],TabCalc[Ticker])</f>
        <v>MVEALDNE</v>
      </c>
      <c r="DL29" s="87">
        <f ca="1">_xlfn.XLOOKUP(DK29,TabCalc[Ticker],TabCalc[ValueBegin])</f>
        <v>-462186.26999999996</v>
      </c>
      <c r="DM29" s="87">
        <f ca="1">_xlfn.XLOOKUP(DK29,TabCalc[Ticker],TabCalc[M_V])</f>
        <v>393900</v>
      </c>
      <c r="DN29" s="87">
        <f ca="1">_xlfn.XLOOKUP(DK29,TabCalc[Ticker],TabCalc[GL])</f>
        <v>-244524.797074</v>
      </c>
      <c r="DO29" s="90"/>
      <c r="DP29" s="90"/>
      <c r="DQ29" s="88" t="s">
        <v>26</v>
      </c>
      <c r="DR29" s="81">
        <v>200</v>
      </c>
      <c r="DS29" s="315">
        <v>-125.15535</v>
      </c>
      <c r="DU29" s="82">
        <v>105.35</v>
      </c>
      <c r="DV29" s="82">
        <f ca="1">DU29-TabCalc[[#This Row],[M_V]]</f>
        <v>0.5</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294300</v>
      </c>
      <c r="G30" s="82">
        <f ca="1">IFERROR(TabCalc[[#This Row],[SB]]-TabCalc[[#This Row],[SST]],TabCalc[[#This Row],[SB]])</f>
        <v>12000</v>
      </c>
      <c r="H30" s="532" t="str">
        <f ca="1">[1]!RTData[[#This Row],[Ticker_Symbol]]</f>
        <v>MRNA</v>
      </c>
      <c r="I30" s="383">
        <f ca="1">_xlfn.XLOOKUP(TabCalc[[#This Row],[Ticker]],[1]!RTData[Ticker_Symbol],[1]!RTData[M-Price])</f>
        <v>24.524999999999999</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8.0149999999999996E-3</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1.4048472052164643E-2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23,844 = $ 584,774</v>
      </c>
      <c r="Z30" s="211">
        <f ca="1">MIN(TabCalc[[#This Row],[L_Bn]],TabCalc[[#This Row],[NAfter]])*(TabCalc[[#This Row],[M]]+TabCalc[[#This Row],[L_Bp]])*TabCalc[[#This Row],[Scale]]</f>
        <v>-50475.000000000007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-22605.000000000004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95572.5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282198</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7860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1.6432212028542303</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-3.9718610010800743</v>
      </c>
      <c r="AY30" s="82">
        <f t="shared" ca="1" si="1"/>
        <v>0</v>
      </c>
      <c r="AZ30" s="90">
        <f ca="1">_xlfn.XLOOKUP(TabCalc[[#This Row],[Ticker]],[1]!RTData[Ticker_Symbol],[1]!RTData[V/VA])</f>
        <v>0.77200431078922915</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0.77200431078922915</v>
      </c>
      <c r="BC30" s="87" cm="1">
        <f t="array" aca="1" ref="BC30" ca="1">INDEX(TabReg[], 1, _xlfn.XMATCH(TabCalc[[#This Row],[Ticker]]&amp;1, TabReg[#Headers], 0))</f>
        <v>200</v>
      </c>
      <c r="BD30" s="159">
        <f ca="1">TabCalc[[#This Row],[Nbegin]]*TabCalc[[#This Row],[M]]*TabCalc[[#This Row],[Scale]]+TabCalc[[#This Row],[ValueBegin]]</f>
        <v>-20126.07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269268.93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-518901.97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60.52</v>
      </c>
      <c r="BR30" s="174" t="str">
        <f ca="1">IF(TabCalc[[#This Row],[EfCost]]+TabCalc[[#This Row],[M_V]]&lt;TabCalc[[#This Row],[NoT_GL]],"Pile","")</f>
        <v>Pile</v>
      </c>
      <c r="BS30" s="165">
        <f ca="1">_xlfn.XLOOKUP(TabCalc[[#This Row],[Ticker]],[1]!RTData[Ticker_Symbol],[1]!RTData[Last trade time])</f>
        <v>45968.870799733595</v>
      </c>
      <c r="BT30" s="175">
        <f ca="1">(TabCalc[[#This Row],[ValueBegin]]+(TabCalc[[#This Row],[M]]-TabCalc[[#This Row],[A]])*TabCalc[[#This Row],[NAfter]])*TabCalc[[#This Row],[Scale]]</f>
        <v>-590475.11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-565444.04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78.474456564388291</v>
      </c>
      <c r="CV30" s="404">
        <f ca="1">IF(TabCalc[[#This Row],[ntoBuy]]*TabCalc[[#This Row],[M]]&lt;=0,0,TabCalc[[#This Row],[ntoBuy]]*TabCalc[[#This Row],[M]])</f>
        <v>1924.5860472416227</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-565444.04</v>
      </c>
      <c r="DB30" s="90">
        <f ca="1">IFERROR((TabCalc[[#This Row],[M]]+TabCalc[[#This Row],[L_Bp]])/ABS(TabCalc[[#This Row],[L_Bp]])/(TODAY()-TabCalc[[#This Row],[L_Bdate]])*360,"")</f>
        <v>-0.51943708353700901</v>
      </c>
      <c r="DC30" s="310">
        <f ca="1">MEDIAN(DataShift!F730:Z730)</f>
        <v>-3.6830000000000001E-3</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4905</v>
      </c>
      <c r="DF30" s="87" cm="1">
        <f t="array" aca="1" ref="DF30" ca="1">SUMPRODUCT(ISNUMBER(INDIRECT("TabReg["&amp;TabCalc[[#This Row],[Ticker]]&amp;"2]"))* INDIRECT("TabReg["&amp;TabCalc[[#This Row],[Ticker]]&amp;"1]") * INDIRECT("TabReg["&amp;TabCalc[[#This Row],[Ticker]]&amp;"2]") )*TabCalc[[#This Row],[Scale]]</f>
        <v>-813201.97</v>
      </c>
      <c r="DI30" s="87">
        <f ca="1"/>
        <v>280800</v>
      </c>
      <c r="DJ30" s="90">
        <f t="shared" ca="1" si="2"/>
        <v>1.3365442054958183</v>
      </c>
      <c r="DK30" t="str">
        <f ca="1">_xlfn.XLOOKUP(DI30,TabCalc[Column1],TabCalc[Ticker])</f>
        <v>HPE</v>
      </c>
      <c r="DL30" s="87">
        <f ca="1">_xlfn.XLOOKUP(DK30,TabCalc[Ticker],TabCalc[ValueBegin])</f>
        <v>-133920</v>
      </c>
      <c r="DM30" s="87">
        <f ca="1">_xlfn.XLOOKUP(DK30,TabCalc[Ticker],TabCalc[M_V])</f>
        <v>215280</v>
      </c>
      <c r="DN30" s="87">
        <f ca="1">_xlfn.XLOOKUP(DK30,TabCalc[Ticker],TabCalc[GL])</f>
        <v>178990</v>
      </c>
      <c r="DO30" s="90"/>
      <c r="DP30" s="90"/>
      <c r="DQ30" s="88" t="s">
        <v>27</v>
      </c>
      <c r="DR30" s="81">
        <v>10000</v>
      </c>
      <c r="DS30" s="315">
        <v>-105.48</v>
      </c>
      <c r="DU30" s="82">
        <v>285000</v>
      </c>
      <c r="DV30" s="82">
        <f ca="1">DU30-TabCalc[[#This Row],[M_V]]</f>
        <v>-9300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4876774</v>
      </c>
      <c r="G31" s="82">
        <f ca="1">IFERROR(TabCalc[[#This Row],[SB]]-TabCalc[[#This Row],[SST]],TabCalc[[#This Row],[SB]])</f>
        <v>9800</v>
      </c>
      <c r="H31" s="532" t="str">
        <f ca="1">[1]!RTData[[#This Row],[Ticker_Symbol]]</f>
        <v>MSFT</v>
      </c>
      <c r="I31" s="383">
        <f ca="1">_xlfn.XLOOKUP(TabCalc[[#This Row],[Ticker]],[1]!RTData[Ticker_Symbol],[1]!RTData[M-Price])</f>
        <v>497.63</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1.0660000000000001E-3</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1.6306972683713334E-3</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-2430.0000000000068</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17880</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3943.4999999999945</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3523.0000000000018</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6174</v>
      </c>
      <c r="AQ31" s="334">
        <f ca="1">_xlfn.LET(_xlpm.MVToday,DataShift!AV531,         _xlpm.MVY,DataShift!AU532,        _xlpm.MVYY, DataShift!AT532,                                IF(_xlpm.MVToday=_xlpm.MVY,_xlpm.MVY-_xlpm.MVYY,_xlpm.MVToday-_xlpm.MVY))</f>
        <v>-294195.15000000002</v>
      </c>
      <c r="AR31" s="334">
        <f ca="1">_xlfn.LET(_xlpm.MVToday,DataShift!AV531,         _xlpm.MVY,DataShift!AU532,        _xlpm.MVYY, DataShift!AT532,         _xlpm.MVYYY, DataShift!AS532,                      IF(_xlpm.MVToday=_xlpm.MVY,      _xlpm.MVYY-_xlpm.MVYYY,          _xlpm.MVY-_xlpm.MVYY))</f>
        <v>5040</v>
      </c>
      <c r="AS31" s="984">
        <f ca="1">TabCalc[[#This Row],[Y]]/TabCalc[[#This Row],[M]]</f>
        <v>1.2584180214215379</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-6.824172811530981</v>
      </c>
      <c r="AY31" s="82">
        <f t="shared" ca="1" si="1"/>
        <v>200</v>
      </c>
      <c r="AZ31" s="90">
        <f ca="1">_xlfn.XLOOKUP(TabCalc[[#This Row],[Ticker]],[1]!RTData[Ticker_Symbol],[1]!RTData[V/VA])</f>
        <v>0.80134100862322255</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0.80134100862322255</v>
      </c>
      <c r="BC31" s="87" cm="1">
        <f t="array" aca="1" ref="BC31" ca="1">INDEX(TabReg[], 1, _xlfn.XMATCH(TabCalc[[#This Row],[Ticker]]&amp;1, TabReg[#Headers], 0))</f>
        <v>10000</v>
      </c>
      <c r="BD31" s="159">
        <f ca="1">TabCalc[[#This Row],[Nbegin]]*TabCalc[[#This Row],[M]]*TabCalc[[#This Row],[Scale]]+TabCalc[[#This Row],[ValueBegin]]</f>
        <v>3921500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3821974</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3962323.56</v>
      </c>
      <c r="BM31" s="159">
        <f ca="1">IF(        OR( TabCalc[[#This Row],[GL]]&gt;ABS(TabCalc[[#This Row],[EfCost]]),TabCalc[[#This Row],[NAfter]]=0),             TabCalc[[#This Row],[GL]],     0)</f>
        <v>3962323.56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152.82</v>
      </c>
      <c r="BR31" s="174" t="str">
        <f ca="1">IF(TabCalc[[#This Row],[EfCost]]+TabCalc[[#This Row],[M_V]]&lt;TabCalc[[#This Row],[NoT_GL]],"Pile","")</f>
        <v/>
      </c>
      <c r="BS31" s="165">
        <f ca="1">_xlfn.XLOOKUP(TabCalc[[#This Row],[Ticker]],[1]!RTData[Ticker_Symbol],[1]!RTData[Last trade time])</f>
        <v>45968.870791770314</v>
      </c>
      <c r="BT31" s="175">
        <f ca="1">(TabCalc[[#This Row],[ValueBegin]]+(TabCalc[[#This Row],[M]]-TabCalc[[#This Row],[A]])*TabCalc[[#This Row],[NAfter]])*TabCalc[[#This Row],[Scale]]</f>
        <v>548960.39999999991</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1603760.4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190.18638265500218</v>
      </c>
      <c r="CV31" s="404">
        <f ca="1">IF(TabCalc[[#This Row],[ntoBuy]]*TabCalc[[#This Row],[M]]&lt;=0,0,TabCalc[[#This Row],[ntoBuy]]*TabCalc[[#This Row],[M]])</f>
        <v>94642.449600608728</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30</v>
      </c>
      <c r="CZ31" s="336">
        <f ca="1">IFERROR(TabCalc[[#This Row],[NMA]]*TabCalc[[#This Row],[M]],"")</f>
        <v>14928.9</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1603760.4</v>
      </c>
      <c r="DB31" s="90">
        <f ca="1">IFERROR((TabCalc[[#This Row],[M]]+TabCalc[[#This Row],[L_Bp]])/ABS(TabCalc[[#This Row],[L_Bp]])/(TODAY()-TabCalc[[#This Row],[L_Bdate]])*360,"")</f>
        <v>-0.45400229647938156</v>
      </c>
      <c r="DC31" s="310">
        <f ca="1">MEDIAN(DataShift!F731:Z731)</f>
        <v>-8.0000000000000002E-3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4976300</v>
      </c>
      <c r="DF31" s="87" cm="1">
        <f t="array" aca="1" ref="DF31" ca="1">SUMPRODUCT(ISNUMBER(INDIRECT("TabReg["&amp;TabCalc[[#This Row],[Ticker]]&amp;"2]"))* INDIRECT("TabReg["&amp;TabCalc[[#This Row],[Ticker]]&amp;"1]") * INDIRECT("TabReg["&amp;TabCalc[[#This Row],[Ticker]]&amp;"2]") )*TabCalc[[#This Row],[Scale]]</f>
        <v>-914450.44</v>
      </c>
      <c r="DI31" s="87">
        <f ca="1"/>
        <v>275574</v>
      </c>
      <c r="DJ31" s="90">
        <f t="shared" ca="1" si="2"/>
        <v>0.40653992878942019</v>
      </c>
      <c r="DK31" t="str">
        <f ca="1">_xlfn.XLOOKUP(DI31,TabCalc[Column1],TabCalc[Ticker])</f>
        <v>SAFGM</v>
      </c>
      <c r="DL31" s="87">
        <f ca="1">_xlfn.XLOOKUP(DK31,TabCalc[Ticker],TabCalc[ValueBegin])</f>
        <v>-153348</v>
      </c>
      <c r="DM31" s="87">
        <f ca="1">_xlfn.XLOOKUP(DK31,TabCalc[Ticker],TabCalc[M_V])</f>
        <v>0</v>
      </c>
      <c r="DN31" s="87">
        <f ca="1">_xlfn.XLOOKUP(DK31,TabCalc[Ticker],TabCalc[GL])</f>
        <v>62342.085000000006</v>
      </c>
      <c r="DO31" s="90"/>
      <c r="DP31" s="90"/>
      <c r="DQ31" s="88" t="s">
        <v>28</v>
      </c>
      <c r="DR31" s="81">
        <v>4200</v>
      </c>
      <c r="DS31" s="315">
        <v>-72.357823809523808</v>
      </c>
      <c r="DU31" s="82">
        <v>5040434</v>
      </c>
      <c r="DV31" s="82">
        <f ca="1">DU31-TabCalc[[#This Row],[M_V]]</f>
        <v>163660</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83.71</v>
      </c>
      <c r="G32" s="82">
        <f ca="1">IFERROR(TabCalc[[#This Row],[SB]]-TabCalc[[#This Row],[SST]],TabCalc[[#This Row],[SB]])</f>
        <v>1</v>
      </c>
      <c r="H32" s="532" t="str">
        <f ca="1">[1]!RTData[[#This Row],[Ticker_Symbol]]</f>
        <v>NEE</v>
      </c>
      <c r="I32" s="383">
        <f ca="1">_xlfn.XLOOKUP(TabCalc[[#This Row],[Ticker]],[1]!RTData[Ticker_Symbol],[1]!RTData[M-Price])</f>
        <v>83.71</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2.0853999999999998E-2</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2.4728484498879533E-2</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12.70955699999999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11.149999999999991</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-734.15999999999565</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298.50000000000136</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1.9299999999999926</v>
      </c>
      <c r="AQ32" s="334">
        <f ca="1">_xlfn.LET(_xlpm.MVToday,DataShift!AV532,         _xlpm.MVY,DataShift!AU533,        _xlpm.MVYY, DataShift!AT533,                                IF(_xlpm.MVToday=_xlpm.MVY,_xlpm.MVY-_xlpm.MVYY,_xlpm.MVToday-_xlpm.MVY))</f>
        <v>-4582474</v>
      </c>
      <c r="AR32" s="334">
        <f ca="1">_xlfn.LET(_xlpm.MVToday,DataShift!AV532,         _xlpm.MVY,DataShift!AU533,        _xlpm.MVYY, DataShift!AT533,         _xlpm.MVYYY, DataShift!AS533,                      IF(_xlpm.MVToday=_xlpm.MVY,      _xlpm.MVYY-_xlpm.MVYYY,          _xlpm.MVY-_xlpm.MVYY))</f>
        <v>4704</v>
      </c>
      <c r="AS32" s="984">
        <f ca="1">TabCalc[[#This Row],[Y]]/TabCalc[[#This Row],[M]]</f>
        <v>1.0870863696093658</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-5.0858535551176948E-2</v>
      </c>
      <c r="AY32" s="82">
        <f t="shared" ca="1" si="1"/>
        <v>4199</v>
      </c>
      <c r="AZ32" s="90">
        <f ca="1">_xlfn.XLOOKUP(TabCalc[[#This Row],[Ticker]],[1]!RTData[Ticker_Symbol],[1]!RTData[V/VA])</f>
        <v>0.69580457722675726</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0.69580457722675726</v>
      </c>
      <c r="BC32" s="87" cm="1">
        <f t="array" aca="1" ref="BC32" ca="1">INDEX(TabReg[], 1, _xlfn.XMATCH(TabCalc[[#This Row],[Ticker]]&amp;1, TabReg[#Headers], 0))</f>
        <v>4200</v>
      </c>
      <c r="BD32" s="159">
        <f ca="1">TabCalc[[#This Row],[Nbegin]]*TabCalc[[#This Row],[M]]*TabCalc[[#This Row],[Scale]]+TabCalc[[#This Row],[ValueBegin]]</f>
        <v>47679.140000000014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-303819.14999999997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66717.861999999979</v>
      </c>
      <c r="BM32" s="159">
        <f ca="1">IF(        OR( TabCalc[[#This Row],[GL]]&gt;ABS(TabCalc[[#This Row],[EfCost]]),TabCalc[[#This Row],[NAfter]]=0),             TabCalc[[#This Row],[GL]],     0)</f>
        <v>66717.861999999979</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45968.870773159375</v>
      </c>
      <c r="BT32" s="175">
        <f ca="1">(TabCalc[[#This Row],[ValueBegin]]+(TabCalc[[#This Row],[M]]-TabCalc[[#This Row],[A]])*TabCalc[[#This Row],[NAfter]])*TabCalc[[#This Row],[Scale]]</f>
        <v>-303890.15044299996</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12.70955699999999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83.71</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12.70955699999999</v>
      </c>
      <c r="DB32" s="90">
        <f ca="1">IFERROR((TabCalc[[#This Row],[M]]+TabCalc[[#This Row],[L_Bp]])/ABS(TabCalc[[#This Row],[L_Bp]])/(TODAY()-TabCalc[[#This Row],[L_Bdate]])*360,"")</f>
        <v>1.1110762438093704</v>
      </c>
      <c r="DC32" s="310">
        <f ca="1">MEDIAN(DataShift!F732:Z732)</f>
        <v>1.0660000000000001E-3</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351582</v>
      </c>
      <c r="DF32" s="87" cm="1">
        <f t="array" aca="1" ref="DF32" ca="1">SUMPRODUCT(ISNUMBER(INDIRECT("TabReg["&amp;TabCalc[[#This Row],[Ticker]]&amp;"2]"))* INDIRECT("TabReg["&amp;TabCalc[[#This Row],[Ticker]]&amp;"1]") * INDIRECT("TabReg["&amp;TabCalc[[#This Row],[Ticker]]&amp;"2]") )*TabCalc[[#This Row],[Scale]]</f>
        <v>66634.151999999973</v>
      </c>
      <c r="DI32" s="87">
        <f ca="1"/>
        <v>274165</v>
      </c>
      <c r="DJ32" s="90">
        <f t="shared" ca="1" si="2"/>
        <v>0.4921373235755358</v>
      </c>
      <c r="DK32" t="str">
        <f ca="1">_xlfn.XLOOKUP(DI32,TabCalc[Column1],TabCalc[Ticker])</f>
        <v>VLVLY</v>
      </c>
      <c r="DL32" s="87">
        <f ca="1">_xlfn.XLOOKUP(DK32,TabCalc[Ticker],TabCalc[ValueBegin])</f>
        <v>-191300</v>
      </c>
      <c r="DM32" s="87">
        <f ca="1">_xlfn.XLOOKUP(DK32,TabCalc[Ticker],TabCalc[M_V])</f>
        <v>82249.5</v>
      </c>
      <c r="DN32" s="87">
        <f ca="1">_xlfn.XLOOKUP(DK32,TabCalc[Ticker],TabCalc[GL])</f>
        <v>94145.87</v>
      </c>
      <c r="DO32" s="90"/>
      <c r="DP32" s="90"/>
      <c r="DQ32" s="88" t="s">
        <v>29</v>
      </c>
      <c r="DR32" s="81">
        <v>15000</v>
      </c>
      <c r="DS32" s="315">
        <v>-19.104759999999999</v>
      </c>
      <c r="DU32" s="82">
        <v>32680</v>
      </c>
      <c r="DV32" s="82">
        <f ca="1">DU32-TabCalc[[#This Row],[M_V]]</f>
        <v>32596.29</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1667000</v>
      </c>
      <c r="G33" s="82">
        <f ca="1">IFERROR(TabCalc[[#This Row],[SB]]-TabCalc[[#This Row],[SST]],TabCalc[[#This Row],[SB]])</f>
        <v>20000</v>
      </c>
      <c r="H33" s="532" t="str">
        <f ca="1">[1]!RTData[[#This Row],[Ticker_Symbol]]</f>
        <v>NEM</v>
      </c>
      <c r="I33" s="383">
        <f ca="1">_xlfn.XLOOKUP(TabCalc[[#This Row],[Ticker]],[1]!RTData[Ticker_Symbol],[1]!RTData[M-Price])</f>
        <v>83.35</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9.9360000000000004E-3</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-0.13238960508531847</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8939.9999999999982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3469.9999999999991</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-3759.9999999999909</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10870.000000000004</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1400</v>
      </c>
      <c r="AQ33" s="334">
        <f ca="1">_xlfn.LET(_xlpm.MVToday,DataShift!AV533,         _xlpm.MVY,DataShift!AU534,        _xlpm.MVYY, DataShift!AT534,                                IF(_xlpm.MVToday=_xlpm.MVY,_xlpm.MVY-_xlpm.MVYY,_xlpm.MVToday-_xlpm.MVY))</f>
        <v>4876690.29</v>
      </c>
      <c r="AR33" s="334">
        <f ca="1">_xlfn.LET(_xlpm.MVToday,DataShift!AV533,         _xlpm.MVY,DataShift!AU534,        _xlpm.MVYY, DataShift!AT534,         _xlpm.MVYYY, DataShift!AS534,                      IF(_xlpm.MVToday=_xlpm.MVY,      _xlpm.MVYY-_xlpm.MVYYY,          _xlpm.MVY-_xlpm.MVYY))</f>
        <v>1.3199999999999932</v>
      </c>
      <c r="AS33" s="984">
        <f ca="1">TabCalc[[#This Row],[Y]]/TabCalc[[#This Row],[M]]</f>
        <v>1.2325734853029395</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-0.85069403308709046</v>
      </c>
      <c r="AY33" s="82">
        <f t="shared" ca="1" si="1"/>
        <v>0</v>
      </c>
      <c r="AZ33" s="90">
        <f ca="1">_xlfn.XLOOKUP(TabCalc[[#This Row],[Ticker]],[1]!RTData[Ticker_Symbol],[1]!RTData[V/VA])</f>
        <v>0.40252538018308653</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0.40252538018308653</v>
      </c>
      <c r="BC33" s="87" cm="1">
        <f t="array" aca="1" ref="BC33" ca="1">INDEX(TabReg[], 1, _xlfn.XMATCH(TabCalc[[#This Row],[Ticker]]&amp;1, TabReg[#Headers], 0))</f>
        <v>15000</v>
      </c>
      <c r="BD33" s="159">
        <f ca="1">TabCalc[[#This Row],[Nbegin]]*TabCalc[[#This Row],[M]]*TabCalc[[#This Row],[Scale]]+TabCalc[[#This Row],[ValueBegin]]</f>
        <v>963678.60000000009</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1380428.6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1185414.9300000002</v>
      </c>
      <c r="BM33" s="159">
        <f ca="1">IF(        OR( TabCalc[[#This Row],[GL]]&gt;ABS(TabCalc[[#This Row],[EfCost]]),TabCalc[[#This Row],[NAfter]]=0),             TabCalc[[#This Row],[GL]],     0)</f>
        <v>1185414.9300000002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45968.87079606406</v>
      </c>
      <c r="BT33" s="175">
        <f ca="1">(TabCalc[[#This Row],[ValueBegin]]+(TabCalc[[#This Row],[M]]-TabCalc[[#This Row],[A]])*TabCalc[[#This Row],[NAfter]])*TabCalc[[#This Row],[Scale]]</f>
        <v>132676.51</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419247.91</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1118.5682326621927</v>
      </c>
      <c r="CX33" s="405">
        <f ca="1">TabCalc[[#This Row],[ntoSell]]*TabCalc[[#This Row],[M]]</f>
        <v>93232.662192393749</v>
      </c>
      <c r="CY33" s="398">
        <f ca="1">_xlfn.LET(_xlpm.nToSell,IF(TabCalc[[#This Row],[M]]-TabCalc[[#This Row],[A]]&lt;=0,"",INT(DesiredSaleGain/(TabCalc[[#This Row],[M]]-IF(TabCalc[[#This Row],[E]]&gt;0,0,TabCalc[[#This Row],[A]])))),IF(_xlpm.nToSell&lt;=TabCalc[[#This Row],[NAfter]],_xlpm.nToSell,0))</f>
        <v>238</v>
      </c>
      <c r="CZ33" s="336">
        <f ca="1">IFERROR(TabCalc[[#This Row],[NMA]]*TabCalc[[#This Row],[M]],"")</f>
        <v>19837.3</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419247.91</v>
      </c>
      <c r="DB33" s="90">
        <f ca="1">IFERROR((TabCalc[[#This Row],[M]]+TabCalc[[#This Row],[L_Bp]])/ABS(TabCalc[[#This Row],[L_Bp]])/(TODAY()-TabCalc[[#This Row],[L_Bdate]])*360,"")</f>
        <v>6.800202839756591</v>
      </c>
      <c r="DC33" s="310">
        <f ca="1">MEDIAN(DataShift!F733:Z733)</f>
        <v>2.898E-3</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1250250</v>
      </c>
      <c r="DF33" s="87" cm="1">
        <f t="array" aca="1" ref="DF33" ca="1">SUMPRODUCT(ISNUMBER(INDIRECT("TabReg["&amp;TabCalc[[#This Row],[Ticker]]&amp;"2]"))* INDIRECT("TabReg["&amp;TabCalc[[#This Row],[Ticker]]&amp;"1]") * INDIRECT("TabReg["&amp;TabCalc[[#This Row],[Ticker]]&amp;"2]") )*TabCalc[[#This Row],[Scale]]</f>
        <v>-481585.06999999983</v>
      </c>
      <c r="DI33" s="87">
        <f ca="1"/>
        <v>273200</v>
      </c>
      <c r="DJ33" s="90">
        <f t="shared" ca="1" si="2"/>
        <v>0.4429249108507386</v>
      </c>
      <c r="DK33" t="str">
        <f ca="1">_xlfn.XLOOKUP(DI33,TabCalc[Column1],TabCalc[Ticker])</f>
        <v>GLE</v>
      </c>
      <c r="DL33" s="87">
        <f ca="1">_xlfn.XLOOKUP(DK33,TabCalc[Ticker],TabCalc[ValueBegin])</f>
        <v>-98150</v>
      </c>
      <c r="DM33" s="87">
        <f ca="1">_xlfn.XLOOKUP(DK33,TabCalc[Ticker],TabCalc[M_V])</f>
        <v>0</v>
      </c>
      <c r="DN33" s="87">
        <f ca="1">_xlfn.XLOOKUP(DK33,TabCalc[Ticker],TabCalc[GL])</f>
        <v>43473.079999999994</v>
      </c>
      <c r="DO33" s="90"/>
      <c r="DP33" s="90"/>
      <c r="DQ33" s="88" t="s">
        <v>30</v>
      </c>
      <c r="DR33" s="81">
        <v>4000</v>
      </c>
      <c r="DS33" s="315">
        <v>-393.15</v>
      </c>
      <c r="DU33" s="82">
        <v>1419840</v>
      </c>
      <c r="DV33" s="82">
        <f ca="1">DU33-TabCalc[[#This Row],[M_V]]</f>
        <v>-247160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3297750</v>
      </c>
      <c r="G34" s="82">
        <f ca="1">IFERROR(TabCalc[[#This Row],[SB]]-TabCalc[[#This Row],[SST]],TabCalc[[#This Row],[SB]])</f>
        <v>3000</v>
      </c>
      <c r="H34" s="532" t="str">
        <f ca="1">[1]!RTData[[#This Row],[Ticker_Symbol]]</f>
        <v>NFLX</v>
      </c>
      <c r="I34" s="383">
        <f ca="1">_xlfn.XLOOKUP(TabCalc[[#This Row],[Ticker]],[1]!RTData[Ticker_Symbol],[1]!RTData[M-Price])</f>
        <v>1099.25</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2.0330000000000001E-3</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-7.7079064142839743E-2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1184.9999999999454</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-2154.9999999999727</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13430.999999999995</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13607.999999999993</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18570</v>
      </c>
      <c r="AQ34" s="334">
        <f ca="1">_xlfn.LET(_xlpm.MVToday,DataShift!AV534,         _xlpm.MVY,DataShift!AU535,        _xlpm.MVYY, DataShift!AT535,                                IF(_xlpm.MVToday=_xlpm.MVY,_xlpm.MVY-_xlpm.MVYY,_xlpm.MVToday-_xlpm.MVY))</f>
        <v>-1666916.29</v>
      </c>
      <c r="AR34" s="334">
        <f ca="1">_xlfn.LET(_xlpm.MVToday,DataShift!AV534,         _xlpm.MVY,DataShift!AU535,        _xlpm.MVYY, DataShift!AT535,         _xlpm.MVYYY, DataShift!AS535,                      IF(_xlpm.MVToday=_xlpm.MVY,      _xlpm.MVYY-_xlpm.MVYYY,          _xlpm.MVY-_xlpm.MVYY))</f>
        <v>14704</v>
      </c>
      <c r="AS34" s="984">
        <f ca="1">TabCalc[[#This Row],[Y]]/TabCalc[[#This Row],[M]]</f>
        <v>1.2256748692290198</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-10.307914109183379</v>
      </c>
      <c r="AY34" s="82">
        <f t="shared" ca="1" si="1"/>
        <v>1000</v>
      </c>
      <c r="AZ34" s="90">
        <f ca="1">_xlfn.XLOOKUP(TabCalc[[#This Row],[Ticker]],[1]!RTData[Ticker_Symbol],[1]!RTData[V/VA])</f>
        <v>0.70146614838085575</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0.70146614838085575</v>
      </c>
      <c r="BC34" s="87" cm="1">
        <f t="array" aca="1" ref="BC34" ca="1">INDEX(TabReg[], 1, _xlfn.XMATCH(TabCalc[[#This Row],[Ticker]]&amp;1, TabReg[#Headers], 0))</f>
        <v>4000</v>
      </c>
      <c r="BD34" s="159">
        <f ca="1">TabCalc[[#This Row],[Nbegin]]*TabCalc[[#This Row],[M]]*TabCalc[[#This Row],[Scale]]+TabCalc[[#This Row],[ValueBegin]]</f>
        <v>2824400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1725150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1462678.99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979.58</v>
      </c>
      <c r="BR34" s="174" t="str">
        <f ca="1">IF(TabCalc[[#This Row],[EfCost]]+TabCalc[[#This Row],[M_V]]&lt;TabCalc[[#This Row],[NoT_GL]],"Pile","")</f>
        <v>Pile</v>
      </c>
      <c r="BS34" s="165">
        <f ca="1">_xlfn.XLOOKUP(TabCalc[[#This Row],[Ticker]],[1]!RTData[Ticker_Symbol],[1]!RTData[Last trade time])</f>
        <v>45968.870786955471</v>
      </c>
      <c r="BT34" s="175">
        <f ca="1">(TabCalc[[#This Row],[ValueBegin]]+(TabCalc[[#This Row],[M]]-TabCalc[[#This Row],[A]])*TabCalc[[#This Row],[NAfter]])*TabCalc[[#This Row],[Scale]]</f>
        <v>-1661654.9999999998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-89054.99999999984</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37.227309954582694</v>
      </c>
      <c r="CV34" s="404">
        <f ca="1">IF(TabCalc[[#This Row],[ntoBuy]]*TabCalc[[#This Row],[M]]&lt;=0,0,TabCalc[[#This Row],[ntoBuy]]*TabCalc[[#This Row],[M]])</f>
        <v>40922.120467575027</v>
      </c>
      <c r="CW34" s="404">
        <f ca="1">IF(TabCalc[[#This Row],[M]]&gt;ABS(TabCalc[[#This Row],[L_Bp]]),MIN(TabCalc[[#This Row],[NAfter]],DesiredSaleGain/(TabCalc[[#This Row],[M]]+TabCalc[[#This Row],[L_Bp]])),0)/TabCalc[[#This Row],[Scale]]</f>
        <v>2109.7046413503081</v>
      </c>
      <c r="CX34" s="405">
        <f ca="1">TabCalc[[#This Row],[ntoSell]]*TabCalc[[#This Row],[M]]</f>
        <v>2319092.827004326</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-89054.99999999984</v>
      </c>
      <c r="DB34" s="90">
        <f ca="1">IFERROR((TabCalc[[#This Row],[M]]+TabCalc[[#This Row],[L_Bp]])/ABS(TabCalc[[#This Row],[L_Bp]])/(TODAY()-TabCalc[[#This Row],[L_Bdate]])*360,"")</f>
        <v>5.5560186294630526E-2</v>
      </c>
      <c r="DC34" s="310">
        <f ca="1">MEDIAN(DataShift!F734:Z734)</f>
        <v>9.9360000000000004E-3</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4397000</v>
      </c>
      <c r="DF34" s="87" cm="1">
        <f t="array" aca="1" ref="DF34" ca="1">SUMPRODUCT(ISNUMBER(INDIRECT("TabReg["&amp;TabCalc[[#This Row],[Ticker]]&amp;"2]"))* INDIRECT("TabReg["&amp;TabCalc[[#This Row],[Ticker]]&amp;"1]") * INDIRECT("TabReg["&amp;TabCalc[[#This Row],[Ticker]]&amp;"2]") )*TabCalc[[#This Row],[Scale]]</f>
        <v>-1835071.01</v>
      </c>
      <c r="DI34" s="87">
        <f ca="1"/>
        <v>243460.05000000002</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-18870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81334.349999999991</v>
      </c>
      <c r="G35" s="82">
        <f ca="1">IFERROR(TabCalc[[#This Row],[SB]]-TabCalc[[#This Row],[SST]],TabCalc[[#This Row],[SB]])</f>
        <v>26667</v>
      </c>
      <c r="H35" s="532" t="str">
        <f ca="1">[1]!RTData[[#This Row],[Ticker_Symbol]]</f>
        <v>NOTE</v>
      </c>
      <c r="I35" s="383">
        <f ca="1">_xlfn.XLOOKUP(TabCalc[[#This Row],[Ticker]],[1]!RTData[Ticker_Symbol],[1]!RTData[M-Price])</f>
        <v>3.05</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1.6667000000000001E-2</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0.26184717735696567</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-5875.0000000000009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-164396.01749999999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10133.459999999992</v>
      </c>
      <c r="AQ35" s="334">
        <f ca="1">_xlfn.LET(_xlpm.MVToday,DataShift!AV535,         _xlpm.MVY,DataShift!AU536,        _xlpm.MVYY, DataShift!AT536,                                IF(_xlpm.MVToday=_xlpm.MVY,_xlpm.MVY-_xlpm.MVYY,_xlpm.MVToday-_xlpm.MVY))</f>
        <v>-1630750</v>
      </c>
      <c r="AR35" s="334">
        <f ca="1">_xlfn.LET(_xlpm.MVToday,DataShift!AV535,         _xlpm.MVY,DataShift!AU536,        _xlpm.MVYY, DataShift!AT536,         _xlpm.MVYYY, DataShift!AS536,                      IF(_xlpm.MVToday=_xlpm.MVY,      _xlpm.MVYY-_xlpm.MVYYY,          _xlpm.MVY-_xlpm.MVYY))</f>
        <v>15120</v>
      </c>
      <c r="AS35" s="984">
        <f ca="1">TabCalc[[#This Row],[Y]]/TabCalc[[#This Row],[M]]</f>
        <v>10.328222950819674</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-239.70163009611207</v>
      </c>
      <c r="AY35" s="82">
        <f t="shared" ca="1" si="1"/>
        <v>3333</v>
      </c>
      <c r="AZ35" s="90">
        <f ca="1">_xlfn.XLOOKUP(TabCalc[[#This Row],[Ticker]],[1]!RTData[Ticker_Symbol],[1]!RTData[V/VA])</f>
        <v>1.7209378846883396</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1.7209378846883396</v>
      </c>
      <c r="BC35" s="87" cm="1">
        <f t="array" aca="1" ref="BC35" ca="1">INDEX(TabReg[], 1, _xlfn.XMATCH(TabCalc[[#This Row],[Ticker]]&amp;1, TabReg[#Headers], 0))</f>
        <v>24167</v>
      </c>
      <c r="BD35" s="159">
        <f ca="1">TabCalc[[#This Row],[Nbegin]]*TabCalc[[#This Row],[M]]*TabCalc[[#This Row],[Scale]]+TabCalc[[#This Row],[ValueBegin]]</f>
        <v>55800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45634.349999999991</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-170271.01750000002</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45968.870491724221</v>
      </c>
      <c r="BT35" s="175">
        <f ca="1">(TabCalc[[#This Row],[ValueBegin]]+(TabCalc[[#This Row],[M]]-TabCalc[[#This Row],[A]])*TabCalc[[#This Row],[NAfter]])*TabCalc[[#This Row],[Scale]]</f>
        <v>-205971.01750000002</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-170271.01750000002</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-170271.01750000002</v>
      </c>
      <c r="DB35" s="90">
        <f ca="1">IFERROR((TabCalc[[#This Row],[M]]+TabCalc[[#This Row],[L_Bp]])/ABS(TabCalc[[#This Row],[L_Bp]])/(TODAY()-TabCalc[[#This Row],[L_Bdate]])*360,"")</f>
        <v>-2.4102564102564106</v>
      </c>
      <c r="DC35" s="310">
        <f ca="1">MEDIAN(DataShift!F735:Z735)</f>
        <v>-8.6059999999999999E-4</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91500</v>
      </c>
      <c r="DF35" s="87" cm="1">
        <f t="array" aca="1" ref="DF35" ca="1">SUMPRODUCT(ISNUMBER(INDIRECT("TabReg["&amp;TabCalc[[#This Row],[Ticker]]&amp;"2]"))* INDIRECT("TabReg["&amp;TabCalc[[#This Row],[Ticker]]&amp;"1]") * INDIRECT("TabReg["&amp;TabCalc[[#This Row],[Ticker]]&amp;"2]") )*TabCalc[[#This Row],[Scale]]</f>
        <v>-251605.36749999999</v>
      </c>
      <c r="DI35" s="87">
        <f ca="1"/>
        <v>241645.50000000003</v>
      </c>
      <c r="DJ35" s="90">
        <f t="shared" ref="DJ35:DJ66" ca="1" si="3">DN35/ABS(DL35)</f>
        <v>-4.612013662805664E-2</v>
      </c>
      <c r="DK35" t="str">
        <f ca="1">_xlfn.XLOOKUP(DI35,TabCalc[Column1],TabCalc[Ticker])</f>
        <v>POET</v>
      </c>
      <c r="DL35" s="87">
        <f ca="1">_xlfn.XLOOKUP(DK35,TabCalc[Ticker],TabCalc[ValueBegin])</f>
        <v>-295684.51</v>
      </c>
      <c r="DM35" s="87">
        <f ca="1">_xlfn.XLOOKUP(DK35,TabCalc[Ticker],TabCalc[M_V])</f>
        <v>241645.50000000003</v>
      </c>
      <c r="DN35" s="87">
        <f ca="1">_xlfn.XLOOKUP(DK35,TabCalc[Ticker],TabCalc[GL])</f>
        <v>-13637.00999999998</v>
      </c>
      <c r="DO35" s="90"/>
      <c r="DP35" s="90"/>
      <c r="DQ35" s="88" t="s">
        <v>32</v>
      </c>
      <c r="DR35">
        <v>500</v>
      </c>
      <c r="DS35" s="315">
        <v>-896.1</v>
      </c>
      <c r="DU35" s="82">
        <v>98934.569999999992</v>
      </c>
      <c r="DV35" s="82">
        <f ca="1">DU35-TabCalc[[#This Row],[M_V]]</f>
        <v>17600.22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138879.6</v>
      </c>
      <c r="G36" s="82">
        <f ca="1">IFERROR(TabCalc[[#This Row],[SB]]-TabCalc[[#This Row],[SST]],TabCalc[[#This Row],[SB]])</f>
        <v>4000</v>
      </c>
      <c r="H36" s="532" t="str">
        <f ca="1">[1]!RTData[[#This Row],[Ticker_Symbol]]</f>
        <v>PAAS</v>
      </c>
      <c r="I36" s="383">
        <f ca="1">_xlfn.XLOOKUP(TabCalc[[#This Row],[Ticker]],[1]!RTData[Ticker_Symbol],[1]!RTData[M-Price])</f>
        <v>34.719900000000003</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2.6305000000000002E-2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0.45565543299609723</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-1500.1499999999944</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7189.9000000000015</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2290.2999999999984</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1570.0999999999965</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2519.6000000000058</v>
      </c>
      <c r="AQ36" s="334">
        <f ca="1">_xlfn.LET(_xlpm.MVToday,DataShift!AV536,         _xlpm.MVY,DataShift!AU537,        _xlpm.MVYY, DataShift!AT537,                                IF(_xlpm.MVToday=_xlpm.MVY,_xlpm.MVY-_xlpm.MVYY,_xlpm.MVToday-_xlpm.MVY))</f>
        <v>3216415.65</v>
      </c>
      <c r="AR36" s="334">
        <f ca="1">_xlfn.LET(_xlpm.MVToday,DataShift!AV536,         _xlpm.MVY,DataShift!AU537,        _xlpm.MVYY, DataShift!AT537,         _xlpm.MVYYY, DataShift!AS537,                      IF(_xlpm.MVToday=_xlpm.MVY,      _xlpm.MVYY-_xlpm.MVYYY,          _xlpm.MVY-_xlpm.MVYY))</f>
        <v>2256.0282000000007</v>
      </c>
      <c r="AS36" s="984">
        <f ca="1">TabCalc[[#This Row],[Y]]/TabCalc[[#This Row],[M]]</f>
        <v>1.3500902940388653</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-1.1034581381918112</v>
      </c>
      <c r="AY36" s="82">
        <f t="shared" ca="1" si="1"/>
        <v>0</v>
      </c>
      <c r="AZ36" s="90">
        <f ca="1">_xlfn.XLOOKUP(TabCalc[[#This Row],[Ticker]],[1]!RTData[Ticker_Symbol],[1]!RTData[V/VA])</f>
        <v>0.4777762763177395</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0.4777762763177395</v>
      </c>
      <c r="BC36" s="87" cm="1">
        <f t="array" aca="1" ref="BC36" ca="1">INDEX(TabReg[], 1, _xlfn.XMATCH(TabCalc[[#This Row],[Ticker]]&amp;1, TabReg[#Headers], 0))</f>
        <v>3000</v>
      </c>
      <c r="BD36" s="159">
        <f ca="1">TabCalc[[#This Row],[Nbegin]]*TabCalc[[#This Row],[M]]*TabCalc[[#This Row],[Scale]]+TabCalc[[#This Row],[ValueBegin]]</f>
        <v>17279.700000000012</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51999.600000000006</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71637.149999999994</v>
      </c>
      <c r="BM36" s="159">
        <f ca="1">IF(        OR( TabCalc[[#This Row],[GL]]&gt;ABS(TabCalc[[#This Row],[EfCost]]),TabCalc[[#This Row],[NAfter]]=0),             TabCalc[[#This Row],[GL]],     0)</f>
        <v>71637.149999999994</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26.83</v>
      </c>
      <c r="BR36" s="174" t="str">
        <f ca="1">IF(TabCalc[[#This Row],[EfCost]]+TabCalc[[#This Row],[M_V]]&lt;TabCalc[[#This Row],[NoT_GL]],"Pile","")</f>
        <v/>
      </c>
      <c r="BS36" s="165">
        <f ca="1">_xlfn.XLOOKUP(TabCalc[[#This Row],[Ticker]],[1]!RTData[Ticker_Symbol],[1]!RTData[Last trade time])</f>
        <v>45968.870712580472</v>
      </c>
      <c r="BT36" s="175">
        <f ca="1">(TabCalc[[#This Row],[ValueBegin]]+(TabCalc[[#This Row],[M]]-TabCalc[[#This Row],[A]])*TabCalc[[#This Row],[NAfter]])*TabCalc[[#This Row],[Scale]]</f>
        <v>-65010.399999999994</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21869.600000000006</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1091.5600576343718</v>
      </c>
      <c r="CV36" s="404">
        <f ca="1">IF(TabCalc[[#This Row],[ntoBuy]]*TabCalc[[#This Row],[M]]&lt;=0,0,TabCalc[[#This Row],[ntoBuy]]*TabCalc[[#This Row],[M]])</f>
        <v>37898.856045059627</v>
      </c>
      <c r="CW36" s="404">
        <f ca="1">IF(TabCalc[[#This Row],[M]]&gt;ABS(TabCalc[[#This Row],[L_Bp]]),MIN(TabCalc[[#This Row],[NAfter]],DesiredSaleGain/(TabCalc[[#This Row],[M]]+TabCalc[[#This Row],[L_Bp]])),0)/TabCalc[[#This Row],[Scale]]</f>
        <v>0</v>
      </c>
      <c r="CX36" s="405">
        <f ca="1">TabCalc[[#This Row],[ntoSell]]*TabCalc[[#This Row],[M]]</f>
        <v>0</v>
      </c>
      <c r="CY36" s="398">
        <f ca="1">_xlfn.LET(_xlpm.nToSell,IF(TabCalc[[#This Row],[M]]-TabCalc[[#This Row],[A]]&lt;=0,"",INT(DesiredSaleGain/(TabCalc[[#This Row],[M]]-IF(TabCalc[[#This Row],[E]]&gt;0,0,TabCalc[[#This Row],[A]])))),IF(_xlpm.nToSell&lt;=TabCalc[[#This Row],[NAfter]],_xlpm.nToSell,0))</f>
        <v>914</v>
      </c>
      <c r="CZ36" s="336">
        <f ca="1">IFERROR(TabCalc[[#This Row],[NMA]]*TabCalc[[#This Row],[M]],"")</f>
        <v>31733.988600000004</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21869.600000000006</v>
      </c>
      <c r="DB36" s="90">
        <f ca="1">IFERROR((TabCalc[[#This Row],[M]]+TabCalc[[#This Row],[L_Bp]])/ABS(TabCalc[[#This Row],[L_Bp]])/(TODAY()-TabCalc[[#This Row],[L_Bdate]])*360,"")</f>
        <v>-0.59290560569132256</v>
      </c>
      <c r="DC36" s="310">
        <f ca="1">MEDIAN(DataShift!F736:Z736)</f>
        <v>-1.7978000000000001E-2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104159.70000000001</v>
      </c>
      <c r="DF36" s="87" cm="1">
        <f t="array" aca="1" ref="DF36" ca="1">SUMPRODUCT(ISNUMBER(INDIRECT("TabReg["&amp;TabCalc[[#This Row],[Ticker]]&amp;"2]"))* INDIRECT("TabReg["&amp;TabCalc[[#This Row],[Ticker]]&amp;"1]") * INDIRECT("TabReg["&amp;TabCalc[[#This Row],[Ticker]]&amp;"2]") )*TabCalc[[#This Row],[Scale]]</f>
        <v>-67242.450000000012</v>
      </c>
      <c r="DI36" s="87">
        <f ca="1"/>
        <v>215650</v>
      </c>
      <c r="DJ36" s="90">
        <f t="shared" ca="1" si="3"/>
        <v>0.34773649003873774</v>
      </c>
      <c r="DK36" t="str">
        <f ca="1">_xlfn.XLOOKUP(DI36,TabCalc[Column1],TabCalc[Ticker])</f>
        <v>MVESAP</v>
      </c>
      <c r="DL36" s="87">
        <f ca="1">_xlfn.XLOOKUP(DK36,TabCalc[Ticker],TabCalc[ValueBegin])</f>
        <v>-144560</v>
      </c>
      <c r="DM36" s="87">
        <f ca="1">_xlfn.XLOOKUP(DK36,TabCalc[Ticker],TabCalc[M_V])</f>
        <v>86475.650000000009</v>
      </c>
      <c r="DN36" s="87">
        <f ca="1">_xlfn.XLOOKUP(DK36,TabCalc[Ticker],TabCalc[GL])</f>
        <v>50268.786999999931</v>
      </c>
      <c r="DO36" s="90"/>
      <c r="DP36" s="90"/>
      <c r="DQ36" s="88" t="s">
        <v>33</v>
      </c>
      <c r="DR36" s="81">
        <v>6000</v>
      </c>
      <c r="DS36" s="315">
        <v>-15.19</v>
      </c>
      <c r="DU36" s="82">
        <v>132800</v>
      </c>
      <c r="DV36" s="82">
        <f ca="1">DU36-TabCalc[[#This Row],[M_V]]</f>
        <v>-6079.6000000000058</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23700</v>
      </c>
      <c r="G37" s="82">
        <f ca="1">IFERROR(TabCalc[[#This Row],[SB]]-TabCalc[[#This Row],[SST]],TabCalc[[#This Row],[SB]])</f>
        <v>4000</v>
      </c>
      <c r="H37" s="532" t="str">
        <f ca="1">[1]!RTData[[#This Row],[Ticker_Symbol]]</f>
        <v>PROF</v>
      </c>
      <c r="I37" s="383">
        <f ca="1">_xlfn.XLOOKUP(TabCalc[[#This Row],[Ticker]],[1]!RTData[Ticker_Symbol],[1]!RTData[M-Price])</f>
        <v>5.9249999999999998</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1.2821000000000001E-2</v>
      </c>
      <c r="N37" s="1077">
        <v>0</v>
      </c>
      <c r="O37" s="899">
        <f>TabCalc[[#This Row],[Up20]]-1+TabCalc[[#This Row],[Up20]]</f>
        <v>-1</v>
      </c>
      <c r="P37" s="899">
        <f>TabCalc[[#This Row],[Up20]]-TabCalc[[#This Row],[Up150]]</f>
        <v>-0.52631578947368418</v>
      </c>
      <c r="Q37" s="899">
        <v>0.52631578947368418</v>
      </c>
      <c r="R37" s="899">
        <f>TabCalc[[#This Row],[Up150]]-1+TabCalc[[#This Row],[Up150]]</f>
        <v>5.2631578947368363E-2</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4.6661599529497694E-2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2939.9999999999977</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-599.80000000000007</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-629.99999999999898</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2009.9999999999998</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460</v>
      </c>
      <c r="AQ37" s="334">
        <f ca="1">_xlfn.LET(_xlpm.MVToday,DataShift!AV537,         _xlpm.MVY,DataShift!AU538,        _xlpm.MVYY, DataShift!AT538,                                IF(_xlpm.MVToday=_xlpm.MVY,_xlpm.MVY-_xlpm.MVYY,_xlpm.MVToday-_xlpm.MVY))</f>
        <v>-57545.250000000015</v>
      </c>
      <c r="AR37" s="334">
        <f ca="1">_xlfn.LET(_xlpm.MVToday,DataShift!AV537,         _xlpm.MVY,DataShift!AU538,        _xlpm.MVYY, DataShift!AT538,         _xlpm.MVYYY, DataShift!AS538,                      IF(_xlpm.MVToday=_xlpm.MVY,      _xlpm.MVYY-_xlpm.MVYYY,          _xlpm.MVY-_xlpm.MVYY))</f>
        <v>3899.6000000000058</v>
      </c>
      <c r="AS37" s="984">
        <f ca="1">TabCalc[[#This Row],[Y]]/TabCalc[[#This Row],[M]]</f>
        <v>2.0421940928270041</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-3.2842572008927013</v>
      </c>
      <c r="AY37" s="82">
        <f t="shared" ref="AY37:AY68" ca="1" si="5">IF(G37&lt;C37,C37-G37,0)</f>
        <v>2000</v>
      </c>
      <c r="AZ37" s="90">
        <f ca="1">_xlfn.XLOOKUP(TabCalc[[#This Row],[Ticker]],[1]!RTData[Ticker_Symbol],[1]!RTData[V/VA])</f>
        <v>0.46411032434901783</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0.46411032434901783</v>
      </c>
      <c r="BC37" s="87" cm="1">
        <f t="array" aca="1" ref="BC37" ca="1">INDEX(TabReg[], 1, _xlfn.XMATCH(TabCalc[[#This Row],[Ticker]]&amp;1, TabReg[#Headers], 0))</f>
        <v>6000</v>
      </c>
      <c r="BD37" s="159">
        <f ca="1">TabCalc[[#This Row],[Nbegin]]*TabCalc[[#This Row],[M]]*TabCalc[[#This Row],[Scale]]+TabCalc[[#This Row],[ValueBegin]]</f>
        <v>-55590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-67440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4227.3800000000265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45968.870771203125</v>
      </c>
      <c r="BT37" s="175">
        <f ca="1">(TabCalc[[#This Row],[ValueBegin]]+(TabCalc[[#This Row],[M]]-TabCalc[[#This Row],[A]])*TabCalc[[#This Row],[NAfter]])*TabCalc[[#This Row],[Scale]]</f>
        <v>-88200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2939.9999999999977</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23700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2939.9999999999977</v>
      </c>
      <c r="DB37" s="90">
        <f ca="1">IFERROR((TabCalc[[#This Row],[M]]+TabCalc[[#This Row],[L_Bp]])/ABS(TabCalc[[#This Row],[L_Bp]])/(TODAY()-TabCalc[[#This Row],[L_Bdate]])*360,"")</f>
        <v>1.1586967945349438</v>
      </c>
      <c r="DC37" s="310">
        <f ca="1">MEDIAN(DataShift!F737:Z737)</f>
        <v>1.2274E-2</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35550</v>
      </c>
      <c r="DF37" s="87" cm="1">
        <f t="array" aca="1" ref="DF37" ca="1">SUMPRODUCT(ISNUMBER(INDIRECT("TabReg["&amp;TabCalc[[#This Row],[Ticker]]&amp;"2]"))* INDIRECT("TabReg["&amp;TabCalc[[#This Row],[Ticker]]&amp;"1]") * INDIRECT("TabReg["&amp;TabCalc[[#This Row],[Ticker]]&amp;"2]") )*TabCalc[[#This Row],[Scale]]</f>
        <v>-19472.619999999974</v>
      </c>
      <c r="DI37" s="87">
        <f ca="1"/>
        <v>215015</v>
      </c>
      <c r="DJ37" s="90">
        <f t="shared" ca="1" si="3"/>
        <v>1.0160162969144817</v>
      </c>
      <c r="DK37" t="str">
        <f ca="1">_xlfn.XLOOKUP(DI37,TabCalc[Column1],TabCalc[Ticker])</f>
        <v>TSLA</v>
      </c>
      <c r="DL37" s="87">
        <f ca="1">_xlfn.XLOOKUP(DK37,TabCalc[Ticker],TabCalc[ValueBegin])</f>
        <v>-86274</v>
      </c>
      <c r="DM37" s="87">
        <f ca="1">_xlfn.XLOOKUP(DK37,TabCalc[Ticker],TabCalc[M_V])</f>
        <v>430.03</v>
      </c>
      <c r="DN37" s="87">
        <f ca="1">_xlfn.XLOOKUP(DK37,TabCalc[Ticker],TabCalc[GL])</f>
        <v>87655.79</v>
      </c>
      <c r="DO37" s="90"/>
      <c r="DP37" s="90"/>
      <c r="DQ37" s="88" t="s">
        <v>1088</v>
      </c>
      <c r="DR37" s="81">
        <v>45000</v>
      </c>
      <c r="DS37" s="315">
        <v>-6.5707668888888886</v>
      </c>
      <c r="DU37" s="82">
        <v>23560</v>
      </c>
      <c r="DV37" s="82">
        <f ca="1">DU37-TabCalc[[#This Row],[M_V]]</f>
        <v>-140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241645.50000000003</v>
      </c>
      <c r="G38" s="82">
        <f ca="1">IFERROR(TabCalc[[#This Row],[SB]]-TabCalc[[#This Row],[SST]],TabCalc[[#This Row],[SB]])</f>
        <v>45000</v>
      </c>
      <c r="H38" s="532" t="str">
        <f ca="1">[1]!RTData[[#This Row],[Ticker_Symbol]]</f>
        <v>POET</v>
      </c>
      <c r="I38" s="383">
        <f ca="1">_xlfn.XLOOKUP(TabCalc[[#This Row],[Ticker]],[1]!RTData[Ticker_Symbol],[1]!RTData[M-Price])</f>
        <v>5.3699000000000003</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9.3799999999999994E-3</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3.7717232143980733E-4</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624.75000000000057</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11129.300000000003</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9250.25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5075.25</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11695.500000000029</v>
      </c>
      <c r="AQ38" s="334">
        <f ca="1">_xlfn.LET(_xlpm.MVToday,DataShift!AV538,         _xlpm.MVY,DataShift!AU539,        _xlpm.MVYY, DataShift!AT539,                                IF(_xlpm.MVToday=_xlpm.MVY,_xlpm.MVY-_xlpm.MVYY,_xlpm.MVToday-_xlpm.MVY))</f>
        <v>115179.6</v>
      </c>
      <c r="AR38" s="334">
        <f ca="1">_xlfn.LET(_xlpm.MVToday,DataShift!AV538,         _xlpm.MVY,DataShift!AU539,        _xlpm.MVYY, DataShift!AT539,         _xlpm.MVYYY, DataShift!AS539,                      IF(_xlpm.MVToday=_xlpm.MVY,      _xlpm.MVYY-_xlpm.MVYYY,          _xlpm.MVY-_xlpm.MVYY))</f>
        <v>260</v>
      </c>
      <c r="AS38" s="984">
        <f ca="1">TabCalc[[#This Row],[Y]]/TabCalc[[#This Row],[M]]</f>
        <v>1.2352799865919291</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5">
        <f ca="1">IFERROR((TabCalc[[#This Row],[M]]-TabCalc[[#This Row],[Y]])*(TabCalc[[#This Row],[M]]-TabCalc[[#This Row],[Y]])*(TabCalc[[#This Row],[M]]-TabCalc[[#This Row],[Y]])/(TabCalc[[#This Row],[Y]]*TabCalc[[#This Row],[M]]),"")</f>
        <v>-5.6618160237914668E-2</v>
      </c>
      <c r="AY38" s="82">
        <f t="shared" ca="1" si="5"/>
        <v>0</v>
      </c>
      <c r="AZ38" s="90">
        <f ca="1">_xlfn.XLOOKUP(TabCalc[[#This Row],[Ticker]],[1]!RTData[Ticker_Symbol],[1]!RTData[V/VA])</f>
        <v>0.54843184414934687</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0.54843184414934687</v>
      </c>
      <c r="BC38" s="87" cm="1">
        <f t="array" aca="1" ref="BC38" ca="1">INDEX(TabReg[], 1, _xlfn.XMATCH(TabCalc[[#This Row],[Ticker]]&amp;1, TabReg[#Headers], 0))</f>
        <v>45000</v>
      </c>
      <c r="BD38" s="159">
        <f ca="1">TabCalc[[#This Row],[Nbegin]]*TabCalc[[#This Row],[M]]*TabCalc[[#This Row],[Scale]]+TabCalc[[#This Row],[ValueBegin]]</f>
        <v>-54039.00999999998</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-54039.00999999998</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-13637.00999999998</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v>
      </c>
      <c r="BR38" s="174" t="str">
        <f ca="1">IF(TabCalc[[#This Row],[EfCost]]+TabCalc[[#This Row],[M_V]]&lt;TabCalc[[#This Row],[NoT_GL]],"Pile","")</f>
        <v/>
      </c>
      <c r="BS38" s="165">
        <f ca="1">_xlfn.XLOOKUP(TabCalc[[#This Row],[Ticker]],[1]!RTData[Ticker_Symbol],[1]!RTData[Last trade time])</f>
        <v>45968.870799745309</v>
      </c>
      <c r="BT38" s="175">
        <f ca="1">(TabCalc[[#This Row],[ValueBegin]]+(TabCalc[[#This Row],[M]]-TabCalc[[#This Row],[A]])*TabCalc[[#This Row],[NAfter]])*TabCalc[[#This Row],[Scale]]</f>
        <v>-311673.01666666666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-15988.506666666646</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1351.3148293289371</v>
      </c>
      <c r="CV38" s="404">
        <f ca="1">IF(TabCalc[[#This Row],[ntoBuy]]*TabCalc[[#This Row],[M]]&lt;=0,0,TabCalc[[#This Row],[ntoBuy]]*TabCalc[[#This Row],[M]])</f>
        <v>7256.4255020134597</v>
      </c>
      <c r="CW38" s="404">
        <f ca="1">IF(TabCalc[[#This Row],[M]]&gt;ABS(TabCalc[[#This Row],[L_Bp]]),MIN(TabCalc[[#This Row],[NAfter]],DesiredSaleGain/(TabCalc[[#This Row],[M]]+TabCalc[[#This Row],[L_Bp]])),0)/TabCalc[[#This Row],[Scale]]</f>
        <v>20008.003201280495</v>
      </c>
      <c r="CX38" s="405">
        <f ca="1">TabCalc[[#This Row],[ntoSell]]*TabCalc[[#This Row],[M]]</f>
        <v>107440.97639055614</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-15988.506666666646</v>
      </c>
      <c r="DB38" s="90">
        <f ca="1">IFERROR((TabCalc[[#This Row],[M]]+TabCalc[[#This Row],[L_Bp]])/ABS(TabCalc[[#This Row],[L_Bp]])/(TODAY()-TabCalc[[#This Row],[L_Bdate]])*360,"")</f>
        <v>0.13015625000000011</v>
      </c>
      <c r="DC38" s="310">
        <f ca="1">MEDIAN(DataShift!F738:Z738)</f>
        <v>-5.0929999999999994E-3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241645.50000000003</v>
      </c>
      <c r="DF38" s="87" cm="1">
        <f t="array" aca="1" ref="DF38" ca="1">SUMPRODUCT(ISNUMBER(INDIRECT("TabReg["&amp;TabCalc[[#This Row],[Ticker]]&amp;"2]"))* INDIRECT("TabReg["&amp;TabCalc[[#This Row],[Ticker]]&amp;"1]") * INDIRECT("TabReg["&amp;TabCalc[[#This Row],[Ticker]]&amp;"2]") )*TabCalc[[#This Row],[Scale]]</f>
        <v>-255282.51</v>
      </c>
      <c r="DI38" s="87">
        <f ca="1"/>
        <v>198206.7</v>
      </c>
      <c r="DJ38" s="90">
        <f t="shared" ca="1" si="3"/>
        <v>0.19296868611667967</v>
      </c>
      <c r="DK38" t="str">
        <f ca="1">_xlfn.XLOOKUP(DI38,TabCalc[Column1],TabCalc[Ticker])</f>
        <v>SAFDIS</v>
      </c>
      <c r="DL38" s="87">
        <f ca="1">_xlfn.XLOOKUP(DK38,TabCalc[Ticker],TabCalc[ValueBegin])</f>
        <v>-187108.7</v>
      </c>
      <c r="DM38" s="87">
        <f ca="1">_xlfn.XLOOKUP(DK38,TabCalc[Ticker],TabCalc[M_V])</f>
        <v>132876</v>
      </c>
      <c r="DN38" s="87">
        <f ca="1">_xlfn.XLOOKUP(DK38,TabCalc[Ticker],TabCalc[GL])</f>
        <v>36106.119999999981</v>
      </c>
      <c r="DO38" s="90"/>
      <c r="DP38" s="90"/>
      <c r="DQ38" s="88" t="s">
        <v>34</v>
      </c>
      <c r="DR38" s="81">
        <v>3000</v>
      </c>
      <c r="DS38" s="315">
        <v>-3.1669499999999999</v>
      </c>
      <c r="DU38" s="82">
        <v>267750</v>
      </c>
      <c r="DV38" s="82">
        <f ca="1">DU38-TabCalc[[#This Row],[M_V]]</f>
        <v>26104.499999999971</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6600</v>
      </c>
      <c r="G39" s="82">
        <f ca="1">IFERROR(TabCalc[[#This Row],[SB]]-TabCalc[[#This Row],[SST]],TabCalc[[#This Row],[SB]])</f>
        <v>10000</v>
      </c>
      <c r="H39" s="532" t="str">
        <f ca="1">[1]!RTData[[#This Row],[Ticker_Symbol]]</f>
        <v>PW</v>
      </c>
      <c r="I39" s="383">
        <f ca="1">_xlfn.XLOOKUP(TabCalc[[#This Row],[Ticker]],[1]!RTData[Ticker_Symbol],[1]!RTData[M-Price])</f>
        <v>0.66</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-3.2115999999999999E-2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0.18846053178532668</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-16,157 = $ -10,664</v>
      </c>
      <c r="Z39" s="211">
        <f ca="1">MIN(TabCalc[[#This Row],[L_Bn]],TabCalc[[#This Row],[NAfter]])*(TabCalc[[#This Row],[M]]+TabCalc[[#This Row],[L_Bp]])*TabCalc[[#This Row],[Scale]]</f>
        <v>-3216.2129999999997</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-571.13999999999987</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2645.28</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2194.3799999999997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93.000000000000909</v>
      </c>
      <c r="AQ39" s="334">
        <f ca="1">_xlfn.LET(_xlpm.MVToday,DataShift!AV539,         _xlpm.MVY,DataShift!AU540,        _xlpm.MVYY, DataShift!AT540,                                IF(_xlpm.MVToday=_xlpm.MVY,_xlpm.MVY-_xlpm.MVYY,_xlpm.MVToday-_xlpm.MVY))</f>
        <v>-217945.50000000003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0.20576201264667096</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0.20576201264667096</v>
      </c>
      <c r="BC39" s="87" cm="1">
        <f t="array" aca="1" ref="BC39" ca="1">INDEX(TabReg[], 1, _xlfn.XMATCH(TabCalc[[#This Row],[Ticker]]&amp;1, TabReg[#Headers], 0))</f>
        <v>3000</v>
      </c>
      <c r="BD39" s="159">
        <f ca="1">TabCalc[[#This Row],[Nbegin]]*TabCalc[[#This Row],[M]]*TabCalc[[#This Row],[Scale]]+TabCalc[[#This Row],[ValueBegin]]</f>
        <v>-7520.85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-2900.8500000000004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-7910.1429999999964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1.67</v>
      </c>
      <c r="BR39" s="174" t="str">
        <f ca="1">IF(TabCalc[[#This Row],[EfCost]]+TabCalc[[#This Row],[M_V]]&lt;TabCalc[[#This Row],[NoT_GL]],"Pile","")</f>
        <v>Pile</v>
      </c>
      <c r="BS39" s="165">
        <f ca="1">_xlfn.XLOOKUP(TabCalc[[#This Row],[Ticker]],[1]!RTData[Ticker_Symbol],[1]!RTData[Last trade time])</f>
        <v>45968.866850878905</v>
      </c>
      <c r="BT39" s="175">
        <f ca="1">(TabCalc[[#This Row],[ValueBegin]]+(TabCalc[[#This Row],[M]]-TabCalc[[#This Row],[A]])*TabCalc[[#This Row],[NAfter]])*TabCalc[[#This Row],[Scale]]</f>
        <v>-13564.250199999999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-4063.4001999999991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5681.818181818182</v>
      </c>
      <c r="CV39" s="404">
        <f ca="1">IF(TabCalc[[#This Row],[ntoBuy]]*TabCalc[[#This Row],[M]]&lt;=0,0,TabCalc[[#This Row],[ntoBuy]]*TabCalc[[#This Row],[M]])</f>
        <v>3750.0000000000005</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-4063.4001999999991</v>
      </c>
      <c r="DB39" s="90">
        <f ca="1">IFERROR((TabCalc[[#This Row],[M]]+TabCalc[[#This Row],[L_Bp]])/ABS(TabCalc[[#This Row],[L_Bp]])/(TODAY()-TabCalc[[#This Row],[L_Bdate]])*360,"")</f>
        <v>-0.5579747582847443</v>
      </c>
      <c r="DC39" s="310">
        <f ca="1">MEDIAN(DataShift!F739:Z739)</f>
        <v>-1.8445E-2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1980</v>
      </c>
      <c r="DF39" s="87" cm="1">
        <f t="array" aca="1" ref="DF39" ca="1">SUMPRODUCT(ISNUMBER(INDIRECT("TabReg["&amp;TabCalc[[#This Row],[Ticker]]&amp;"2]"))* INDIRECT("TabReg["&amp;TabCalc[[#This Row],[Ticker]]&amp;"1]") * INDIRECT("TabReg["&amp;TabCalc[[#This Row],[Ticker]]&amp;"2]") )*TabCalc[[#This Row],[Scale]]</f>
        <v>-14510.142999999996</v>
      </c>
      <c r="DI39" s="87">
        <f ca="1"/>
        <v>183625</v>
      </c>
      <c r="DJ39" s="90">
        <f t="shared" ca="1" si="3"/>
        <v>0.43442666574208455</v>
      </c>
      <c r="DK39" t="str">
        <f ca="1">_xlfn.XLOOKUP(DI39,TabCalc[Column1],TabCalc[Ticker])</f>
        <v>SHECY</v>
      </c>
      <c r="DL39" s="87">
        <f ca="1">_xlfn.XLOOKUP(DK39,TabCalc[Ticker],TabCalc[ValueBegin])</f>
        <v>-140171.46</v>
      </c>
      <c r="DM39" s="87">
        <f ca="1">_xlfn.XLOOKUP(DK39,TabCalc[Ticker],TabCalc[M_V])</f>
        <v>367250</v>
      </c>
      <c r="DN39" s="87">
        <f ca="1">_xlfn.XLOOKUP(DK39,TabCalc[Ticker],TabCalc[GL])</f>
        <v>60894.219999999972</v>
      </c>
      <c r="DO39" s="90"/>
      <c r="DP39" s="90"/>
      <c r="DQ39" s="88" t="s">
        <v>35</v>
      </c>
      <c r="DR39" s="81">
        <v>2700</v>
      </c>
      <c r="DS39" s="315">
        <v>-36.9220481481481</v>
      </c>
      <c r="DU39" s="82">
        <v>6933</v>
      </c>
      <c r="DV39" s="82">
        <f ca="1">DU39-TabCalc[[#This Row],[M_V]]</f>
        <v>333</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35310</v>
      </c>
      <c r="G40" s="82">
        <f ca="1">IFERROR(TabCalc[[#This Row],[SB]]-TabCalc[[#This Row],[SST]],TabCalc[[#This Row],[SB]])</f>
        <v>1000</v>
      </c>
      <c r="H40" s="532" t="str">
        <f ca="1">[1]!RTData[[#This Row],[Ticker_Symbol]]</f>
        <v>RIGL</v>
      </c>
      <c r="I40" s="383">
        <f ca="1">_xlfn.XLOOKUP(TabCalc[[#This Row],[Ticker]],[1]!RTData[Ticker_Symbol],[1]!RTData[M-Price])</f>
        <v>35.31</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-2.2425E-2</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0.45864999719463251</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6980.0000000000036</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6764.755000000001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3799.9999999999973</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-10780.000000000002</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-60</v>
      </c>
      <c r="AQ40" s="334">
        <f ca="1">_xlfn.LET(_xlpm.MVToday,DataShift!AV540,         _xlpm.MVY,DataShift!AU541,        _xlpm.MVYY, DataShift!AT541,                                IF(_xlpm.MVToday=_xlpm.MVY,_xlpm.MVY-_xlpm.MVYY,_xlpm.MVToday-_xlpm.MVY))</f>
        <v>235045.50000000003</v>
      </c>
      <c r="AR40" s="334">
        <f ca="1">_xlfn.LET(_xlpm.MVToday,DataShift!AV540,         _xlpm.MVY,DataShift!AU541,        _xlpm.MVYY, DataShift!AT541,         _xlpm.MVYYY, DataShift!AS541,                      IF(_xlpm.MVToday=_xlpm.MVY,      _xlpm.MVYY-_xlpm.MVYYY,          _xlpm.MVY-_xlpm.MVYY))</f>
        <v>-697</v>
      </c>
      <c r="AS40" s="984">
        <f ca="1">TabCalc[[#This Row],[Y]]/TabCalc[[#This Row],[M]]</f>
        <v>1.08562248654772</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-2.0416551809233519E-2</v>
      </c>
      <c r="AY40" s="82">
        <f t="shared" ca="1" si="5"/>
        <v>1700</v>
      </c>
      <c r="AZ40" s="90">
        <f ca="1">_xlfn.XLOOKUP(TabCalc[[#This Row],[Ticker]],[1]!RTData[Ticker_Symbol],[1]!RTData[V/VA])</f>
        <v>0.80964531679843854</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0.80964531679843854</v>
      </c>
      <c r="BC40" s="87" cm="1">
        <f t="array" aca="1" ref="BC40" ca="1">INDEX(TabReg[], 1, _xlfn.XMATCH(TabCalc[[#This Row],[Ticker]]&amp;1, TabReg[#Headers], 0))</f>
        <v>2700</v>
      </c>
      <c r="BD40" s="159">
        <f ca="1">TabCalc[[#This Row],[Nbegin]]*TabCalc[[#This Row],[M]]*TabCalc[[#This Row],[Scale]]+TabCalc[[#This Row],[ValueBegin]]</f>
        <v>-4352.5299999998679</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-64379.529999999868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145386.22000000015</v>
      </c>
      <c r="BM40" s="159">
        <f ca="1">IF(        OR( TabCalc[[#This Row],[GL]]&gt;ABS(TabCalc[[#This Row],[EfCost]]),TabCalc[[#This Row],[NAfter]]=0),             TabCalc[[#This Row],[GL]],     0)</f>
        <v>145386.22000000015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4" t="str">
        <f ca="1">IF(TabCalc[[#This Row],[EfCost]]+TabCalc[[#This Row],[M_V]]&lt;TabCalc[[#This Row],[NoT_GL]],"Pile","")</f>
        <v/>
      </c>
      <c r="BS40" s="165">
        <f ca="1">_xlfn.XLOOKUP(TabCalc[[#This Row],[Ticker]],[1]!RTData[Ticker_Symbol],[1]!RTData[Last trade time])</f>
        <v>45968.87078192109</v>
      </c>
      <c r="BT40" s="175">
        <f ca="1">(TabCalc[[#This Row],[ValueBegin]]+(TabCalc[[#This Row],[M]]-TabCalc[[#This Row],[A]])*TabCalc[[#This Row],[NAfter]])*TabCalc[[#This Row],[Scale]]</f>
        <v>-92853.026666666541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6836.5033333333331</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2631.5789473684231</v>
      </c>
      <c r="CV40" s="404">
        <f ca="1">IF(TabCalc[[#This Row],[ntoBuy]]*TabCalc[[#This Row],[M]]&lt;=0,0,TabCalc[[#This Row],[ntoBuy]]*TabCalc[[#This Row],[M]])</f>
        <v>92921.052631579019</v>
      </c>
      <c r="CW40" s="404">
        <f ca="1">IF(TabCalc[[#This Row],[M]]&gt;ABS(TabCalc[[#This Row],[L_Bp]]),MIN(TabCalc[[#This Row],[NAfter]],DesiredSaleGain/(TabCalc[[#This Row],[M]]+TabCalc[[#This Row],[L_Bp]])),0)/TabCalc[[#This Row],[Scale]]</f>
        <v>716.33237822349531</v>
      </c>
      <c r="CX40" s="405">
        <f ca="1">TabCalc[[#This Row],[ntoSell]]*TabCalc[[#This Row],[M]]</f>
        <v>25293.696275071619</v>
      </c>
      <c r="CY40" s="398">
        <f ca="1">_xlfn.LET(_xlpm.nToSell,IF(TabCalc[[#This Row],[M]]-TabCalc[[#This Row],[A]]&lt;=0,"",INT(DesiredSaleGain/(TabCalc[[#This Row],[M]]-IF(TabCalc[[#This Row],[E]]&gt;0,0,TabCalc[[#This Row],[A]])))),IF(_xlpm.nToSell&lt;=TabCalc[[#This Row],[NAfter]],_xlpm.nToSell,0))</f>
        <v>731</v>
      </c>
      <c r="CZ40" s="336">
        <f ca="1">IFERROR(TabCalc[[#This Row],[NMA]]*TabCalc[[#This Row],[M]],"")</f>
        <v>25811.61</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6836.5033333333331</v>
      </c>
      <c r="DB40" s="90">
        <f ca="1">IFERROR((TabCalc[[#This Row],[M]]+TabCalc[[#This Row],[L_Bp]])/ABS(TabCalc[[#This Row],[L_Bp]])/(TODAY()-TabCalc[[#This Row],[L_Bdate]])*360,"")</f>
        <v>29.565831274267577</v>
      </c>
      <c r="DC40" s="310">
        <f ca="1">MEDIAN(DataShift!F740:Z740)</f>
        <v>-3.2115999999999999E-2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95337</v>
      </c>
      <c r="DF40" s="87" cm="1">
        <f t="array" aca="1" ref="DF40" ca="1">SUMPRODUCT(ISNUMBER(INDIRECT("TabReg["&amp;TabCalc[[#This Row],[Ticker]]&amp;"2]"))* INDIRECT("TabReg["&amp;TabCalc[[#This Row],[Ticker]]&amp;"1]") * INDIRECT("TabReg["&amp;TabCalc[[#This Row],[Ticker]]&amp;"2]") )*TabCalc[[#This Row],[Scale]]</f>
        <v>110076.22000000013</v>
      </c>
      <c r="DI40" s="87">
        <f ca="1"/>
        <v>181928.99999999997</v>
      </c>
      <c r="DJ40" s="90">
        <f t="shared" ca="1" si="3"/>
        <v>0.4085636524968761</v>
      </c>
      <c r="DK40" t="str">
        <f ca="1">_xlfn.XLOOKUP(DI40,TabCalc[Column1],TabCalc[Ticker])</f>
        <v>MA</v>
      </c>
      <c r="DL40" s="87">
        <f ca="1">_xlfn.XLOOKUP(DK40,TabCalc[Ticker],TabCalc[ValueBegin])</f>
        <v>-116529.60000000001</v>
      </c>
      <c r="DM40" s="87">
        <f ca="1">_xlfn.XLOOKUP(DK40,TabCalc[Ticker],TabCalc[M_V])</f>
        <v>110259.99999999999</v>
      </c>
      <c r="DN40" s="87">
        <f ca="1">_xlfn.XLOOKUP(DK40,TabCalc[Ticker],TabCalc[GL])</f>
        <v>47609.758999999976</v>
      </c>
      <c r="DO40" s="90"/>
      <c r="DP40" s="90"/>
      <c r="DQ40" t="s">
        <v>36</v>
      </c>
      <c r="DR40" s="81">
        <v>500</v>
      </c>
      <c r="DS40" s="315">
        <v>-172.548</v>
      </c>
      <c r="DU40" s="82">
        <v>56760</v>
      </c>
      <c r="DV40" s="82">
        <f ca="1">DU40-TabCalc[[#This Row],[M_V]]</f>
        <v>21450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2145.5</v>
      </c>
      <c r="G41" s="82">
        <f ca="1">IFERROR(TabCalc[[#This Row],[SB]]-TabCalc[[#This Row],[SST]],TabCalc[[#This Row],[SB]])</f>
        <v>50</v>
      </c>
      <c r="H41" s="532" t="str">
        <f ca="1">[1]!RTData[[#This Row],[Ticker_Symbol]]</f>
        <v>RWE</v>
      </c>
      <c r="I41" s="383">
        <f ca="1">_xlfn.XLOOKUP(TabCalc[[#This Row],[Ticker]],[1]!RTData[Ticker_Symbol],[1]!RTData[M-Price])</f>
        <v>42.91</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-4.1770000000000002E-3</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-0.22161124998796794</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726.99999999999977</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683.74999999999989</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-30559.999999999993</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-16004.999999999993</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-10</v>
      </c>
      <c r="AQ41" s="334">
        <f ca="1">_xlfn.LET(_xlpm.MVToday,DataShift!AV541,         _xlpm.MVY,DataShift!AU542,        _xlpm.MVYY, DataShift!AT542,                                IF(_xlpm.MVToday=_xlpm.MVY,_xlpm.MVY-_xlpm.MVYY,_xlpm.MVToday-_xlpm.MVY))</f>
        <v>-28710</v>
      </c>
      <c r="AR41" s="334">
        <f ca="1">_xlfn.LET(_xlpm.MVToday,DataShift!AV541,         _xlpm.MVY,DataShift!AU542,        _xlpm.MVYY, DataShift!AT542,         _xlpm.MVYYY, DataShift!AS542,                      IF(_xlpm.MVToday=_xlpm.MVY,      _xlpm.MVYY-_xlpm.MVYYY,          _xlpm.MVY-_xlpm.MVYY))</f>
        <v>-1015</v>
      </c>
      <c r="AS41" s="984">
        <f ca="1">TabCalc[[#This Row],[Y]]/TabCalc[[#This Row],[M]]</f>
        <v>1.0428119319505942</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-3.228843548760239E-3</v>
      </c>
      <c r="AY41" s="82">
        <f t="shared" ca="1" si="5"/>
        <v>29950</v>
      </c>
      <c r="AZ41" s="90">
        <f ca="1">_xlfn.XLOOKUP(TabCalc[[#This Row],[Ticker]],[1]!RTData[Ticker_Symbol],[1]!RTData[V/VA])</f>
        <v>4.4524727823072796E-3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4.4524727823072796E-3</v>
      </c>
      <c r="BC41" s="87" cm="1">
        <f t="array" aca="1" ref="BC41" ca="1">INDEX(TabReg[], 1, _xlfn.XMATCH(TabCalc[[#This Row],[Ticker]]&amp;1, TabReg[#Headers], 0))</f>
        <v>30000</v>
      </c>
      <c r="BD41" s="159">
        <f ca="1">TabCalc[[#This Row],[Nbegin]]*TabCalc[[#This Row],[M]]*TabCalc[[#This Row],[Scale]]+TabCalc[[#This Row],[ValueBegin]]</f>
        <v>273237.96000000008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-1011916.5399999999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36278.852499999921</v>
      </c>
      <c r="BM41" s="159">
        <f ca="1">IF(        OR( TabCalc[[#This Row],[GL]]&gt;ABS(TabCalc[[#This Row],[EfCost]]),TabCalc[[#This Row],[NAfter]]=0),             TabCalc[[#This Row],[GL]],     0)</f>
        <v>36278.852499999921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45968.859722222223</v>
      </c>
      <c r="BT41" s="175">
        <f ca="1">(TabCalc[[#This Row],[ValueBegin]]+(TabCalc[[#This Row],[M]]-TabCalc[[#This Row],[A]])*TabCalc[[#This Row],[NAfter]])*TabCalc[[#This Row],[Scale]]</f>
        <v>-1013335.0399999999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726.99999999999977</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2145.5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726.99999999999977</v>
      </c>
      <c r="DB41" s="90">
        <f ca="1">IFERROR((TabCalc[[#This Row],[M]]+TabCalc[[#This Row],[L_Bp]])/ABS(TabCalc[[#This Row],[L_Bp]])/(TODAY()-TabCalc[[#This Row],[L_Bdate]])*360,"")</f>
        <v>0.70153900588502538</v>
      </c>
      <c r="DC41" s="310">
        <f ca="1">MEDIAN(DataShift!F741:Z741)</f>
        <v>0</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1287300</v>
      </c>
      <c r="DF41" s="87" cm="1">
        <f t="array" aca="1" ref="DF41" ca="1">SUMPRODUCT(ISNUMBER(INDIRECT("TabReg["&amp;TabCalc[[#This Row],[Ticker]]&amp;"2]"))* INDIRECT("TabReg["&amp;TabCalc[[#This Row],[Ticker]]&amp;"1]") * INDIRECT("TabReg["&amp;TabCalc[[#This Row],[Ticker]]&amp;"2]") )*TabCalc[[#This Row],[Scale]]</f>
        <v>34133.352499999921</v>
      </c>
      <c r="DI41" s="87">
        <f ca="1"/>
        <v>178800</v>
      </c>
      <c r="DJ41" s="90">
        <f t="shared" ca="1" si="3"/>
        <v>0.1469957782556042</v>
      </c>
      <c r="DK41" t="str">
        <f ca="1">_xlfn.XLOOKUP(DI41,TabCalc[Column1],TabCalc[Ticker])</f>
        <v>AET</v>
      </c>
      <c r="DL41" s="87">
        <f ca="1">_xlfn.XLOOKUP(DK41,TabCalc[Ticker],TabCalc[ValueBegin])</f>
        <v>-161766.307</v>
      </c>
      <c r="DM41" s="87">
        <f ca="1">_xlfn.XLOOKUP(DK41,TabCalc[Ticker],TabCalc[M_V])</f>
        <v>366540</v>
      </c>
      <c r="DN41" s="87">
        <f ca="1">_xlfn.XLOOKUP(DK41,TabCalc[Ticker],TabCalc[GL])</f>
        <v>23778.964192999993</v>
      </c>
      <c r="DO41" s="90"/>
      <c r="DP41" s="90"/>
      <c r="DQ41" s="88" t="s">
        <v>37</v>
      </c>
      <c r="DR41" s="81">
        <v>30000</v>
      </c>
      <c r="DS41" s="315">
        <v>-33.802067999999998</v>
      </c>
      <c r="DU41" s="82">
        <v>2117</v>
      </c>
      <c r="DV41" s="82">
        <f ca="1">DU41-TabCalc[[#This Row],[M_V]]</f>
        <v>-28.5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819470</v>
      </c>
      <c r="G42" s="82">
        <f ca="1">IFERROR(TabCalc[[#This Row],[SB]]-TabCalc[[#This Row],[SST]],TabCalc[[#This Row],[SB]])</f>
        <v>3800</v>
      </c>
      <c r="H42" s="532" t="str">
        <f ca="1">[1]!RTData[[#This Row],[Ticker_Symbol]]</f>
        <v>SAP</v>
      </c>
      <c r="I42" s="383">
        <f ca="1">_xlfn.XLOOKUP(TabCalc[[#This Row],[Ticker]],[1]!RTData[Ticker_Symbol],[1]!RTData[M-Price])</f>
        <v>215.65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-1.0553E-2</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6.0343666701676922E-2</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-8349.9999999999945</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-11900.000000000005</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4430.0000000000009</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24700.000000000004</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-15200</v>
      </c>
      <c r="AQ42" s="334">
        <f ca="1">_xlfn.LET(_xlpm.MVToday,DataShift!AV542,         _xlpm.MVY,DataShift!AU543,        _xlpm.MVYY, DataShift!AT543,                                IF(_xlpm.MVToday=_xlpm.MVY,_xlpm.MVY-_xlpm.MVYY,_xlpm.MVToday-_xlpm.MVY))</f>
        <v>33164.5</v>
      </c>
      <c r="AR42" s="334">
        <f ca="1">_xlfn.LET(_xlpm.MVToday,DataShift!AV542,         _xlpm.MVY,DataShift!AU543,        _xlpm.MVYY, DataShift!AT543,         _xlpm.MVYYY, DataShift!AS543,                      IF(_xlpm.MVToday=_xlpm.MVY,      _xlpm.MVYY-_xlpm.MVYYY,          _xlpm.MVY-_xlpm.MVYY))</f>
        <v>-10.5</v>
      </c>
      <c r="AS42" s="984">
        <f ca="1">TabCalc[[#This Row],[Y]]/TabCalc[[#This Row],[M]]</f>
        <v>1.3385893809413403</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-6.2534846356887686</v>
      </c>
      <c r="AY42" s="82">
        <f t="shared" ca="1" si="5"/>
        <v>0</v>
      </c>
      <c r="AZ42" s="90">
        <f ca="1">_xlfn.XLOOKUP(TabCalc[[#This Row],[Ticker]],[1]!RTData[Ticker_Symbol],[1]!RTData[V/VA])</f>
        <v>1.1597733249552002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1.1597733249552002</v>
      </c>
      <c r="BC42" s="87" cm="1">
        <f t="array" aca="1" ref="BC42" ca="1">INDEX(TabReg[], 1, _xlfn.XMATCH(TabCalc[[#This Row],[Ticker]]&amp;1, TabReg[#Headers], 0))</f>
        <v>1500</v>
      </c>
      <c r="BD42" s="159">
        <f ca="1">TabCalc[[#This Row],[Nbegin]]*TabCalc[[#This Row],[M]]*TabCalc[[#This Row],[Scale]]+TabCalc[[#This Row],[ValueBegin]]</f>
        <v>183901.95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679896.95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-8896.0250000001397</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351.29</v>
      </c>
      <c r="BR42" s="174" t="str">
        <f ca="1">IF(TabCalc[[#This Row],[EfCost]]+TabCalc[[#This Row],[M_V]]&lt;TabCalc[[#This Row],[NoT_GL]],"Pile","")</f>
        <v>Pile</v>
      </c>
      <c r="BS42" s="165">
        <f ca="1">_xlfn.XLOOKUP(TabCalc[[#This Row],[Ticker]],[1]!RTData[Ticker_Symbol],[1]!RTData[Last trade time])</f>
        <v>45968.8125</v>
      </c>
      <c r="BT42" s="175">
        <f ca="1">(TabCalc[[#This Row],[ValueBegin]]+(TabCalc[[#This Row],[M]]-TabCalc[[#This Row],[A]])*TabCalc[[#This Row],[NAfter]])*TabCalc[[#This Row],[Scale]]</f>
        <v>-234128.49999999988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-94555.449999999895</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225.73363431151236</v>
      </c>
      <c r="CV42" s="404">
        <f ca="1">IF(TabCalc[[#This Row],[ntoBuy]]*TabCalc[[#This Row],[M]]&lt;=0,0,TabCalc[[#This Row],[ntoBuy]]*TabCalc[[#This Row],[M]])</f>
        <v>48679.458239277643</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-94555.449999999895</v>
      </c>
      <c r="DB42" s="90">
        <f ca="1">IFERROR((TabCalc[[#This Row],[M]]+TabCalc[[#This Row],[L_Bp]])/ABS(TabCalc[[#This Row],[L_Bp]])/(TODAY()-TabCalc[[#This Row],[L_Bdate]])*360,"")</f>
        <v>-0.71874327523133164</v>
      </c>
      <c r="DC42" s="310">
        <f ca="1">MEDIAN(DataShift!F742:Z742)</f>
        <v>-3.4100000000000003E-3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323475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39520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367250</v>
      </c>
      <c r="G43" s="82">
        <f ca="1">IFERROR(TabCalc[[#This Row],[SB]]-TabCalc[[#This Row],[SST]],TabCalc[[#This Row],[SB]])</f>
        <v>25000</v>
      </c>
      <c r="H43" s="532" t="str">
        <f ca="1">[1]!RTData[[#This Row],[Ticker_Symbol]]</f>
        <v>SHECY</v>
      </c>
      <c r="I43" s="383">
        <f ca="1">_xlfn.XLOOKUP(TabCalc[[#This Row],[Ticker]],[1]!RTData[Ticker_Symbol],[1]!RTData[M-Price])</f>
        <v>14.69</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1.5906E-2</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0.56101197624416821</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-28,617 = $ -420,384</v>
      </c>
      <c r="Z43" s="211">
        <f ca="1">MIN(TabCalc[[#This Row],[L_Bn]],TabCalc[[#This Row],[NAfter]])*(TabCalc[[#This Row],[M]]+TabCalc[[#This Row],[L_Bp]])*TabCalc[[#This Row],[Scale]]</f>
        <v>-1342.3199999999995</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-2279.9999999999995</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1169.1999999999998</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6331.0000000000009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8875</v>
      </c>
      <c r="AQ43" s="334">
        <f ca="1">_xlfn.LET(_xlpm.MVToday,DataShift!AV543,         _xlpm.MVY,DataShift!AU544,        _xlpm.MVYY, DataShift!AT544,                                IF(_xlpm.MVToday=_xlpm.MVY,_xlpm.MVY-_xlpm.MVYY,_xlpm.MVToday-_xlpm.MVY))</f>
        <v>-817324.5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4.9657928425179201E-2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4.9657928425179201E-2</v>
      </c>
      <c r="BC43" s="87" cm="1">
        <f t="array" aca="1" ref="BC43" ca="1">INDEX(TabReg[], 1, _xlfn.XMATCH(TabCalc[[#This Row],[Ticker]]&amp;1, TabReg[#Headers], 0))</f>
        <v>12500</v>
      </c>
      <c r="BD43" s="159">
        <f ca="1">TabCalc[[#This Row],[Nbegin]]*TabCalc[[#This Row],[M]]*TabCalc[[#This Row],[Scale]]+TabCalc[[#This Row],[ValueBegin]]</f>
        <v>43453.540000000008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227078.54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60894.219999999972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v>
      </c>
      <c r="BR43" s="174" t="str">
        <f ca="1">IF(TabCalc[[#This Row],[EfCost]]+TabCalc[[#This Row],[M_V]]&lt;TabCalc[[#This Row],[NoT_GL]],"Pile","")</f>
        <v/>
      </c>
      <c r="BS43" s="165">
        <f ca="1">_xlfn.XLOOKUP(TabCalc[[#This Row],[Ticker]],[1]!RTData[Ticker_Symbol],[1]!RTData[Last trade time])</f>
        <v>45968.860066515626</v>
      </c>
      <c r="BT43" s="175">
        <f ca="1">(TabCalc[[#This Row],[ValueBegin]]+(TabCalc[[#This Row],[M]]-TabCalc[[#This Row],[A]])*TabCalc[[#This Row],[NAfter]])*TabCalc[[#This Row],[Scale]]</f>
        <v>-193294.82000000007</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-53123.360000000066</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2702.7027027027034</v>
      </c>
      <c r="CV43" s="404">
        <f ca="1">IF(TabCalc[[#This Row],[ntoBuy]]*TabCalc[[#This Row],[M]]&lt;=0,0,TabCalc[[#This Row],[ntoBuy]]*TabCalc[[#This Row],[M]])</f>
        <v>39702.702702702714</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-53123.360000000066</v>
      </c>
      <c r="DB43" s="90">
        <f ca="1">IFERROR((TabCalc[[#This Row],[M]]+TabCalc[[#This Row],[L_Bp]])/ABS(TabCalc[[#This Row],[L_Bp]])/(TODAY()-TabCalc[[#This Row],[L_Bdate]])*360,"")</f>
        <v>-1.3421052631578942</v>
      </c>
      <c r="DC43" s="310">
        <f ca="1">MEDIAN(DataShift!F743:Z743)</f>
        <v>8.4099999999999995E-4</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183625</v>
      </c>
      <c r="DF43" s="87" cm="1">
        <f t="array" aca="1" ref="DF43" ca="1">SUMPRODUCT(ISNUMBER(INDIRECT("TabReg["&amp;TabCalc[[#This Row],[Ticker]]&amp;"2]"))* INDIRECT("TabReg["&amp;TabCalc[[#This Row],[Ticker]]&amp;"1]") * INDIRECT("TabReg["&amp;TabCalc[[#This Row],[Ticker]]&amp;"2]") )*TabCalc[[#This Row],[Scale]]</f>
        <v>-306355.78000000003</v>
      </c>
      <c r="DI43" s="87">
        <f ca="1"/>
        <v>159320</v>
      </c>
      <c r="DJ43" s="90">
        <f t="shared" ca="1" si="3"/>
        <v>0.47896295678719347</v>
      </c>
      <c r="DK43" t="str">
        <f ca="1">_xlfn.XLOOKUP(DI43,TabCalc[Column1],TabCalc[Ticker])</f>
        <v>MVEENI</v>
      </c>
      <c r="DL43" s="87">
        <f ca="1">_xlfn.XLOOKUP(DK43,TabCalc[Ticker],TabCalc[ValueBegin])</f>
        <v>-155926</v>
      </c>
      <c r="DM43" s="87">
        <f ca="1">_xlfn.XLOOKUP(DK43,TabCalc[Ticker],TabCalc[M_V])</f>
        <v>573552</v>
      </c>
      <c r="DN43" s="87">
        <f ca="1">_xlfn.XLOOKUP(DK43,TabCalc[Ticker],TabCalc[GL])</f>
        <v>74682.777999999933</v>
      </c>
      <c r="DO43" s="90"/>
      <c r="DP43" s="90"/>
      <c r="DQ43" s="88" t="s">
        <v>39</v>
      </c>
      <c r="DR43" s="81">
        <v>12500</v>
      </c>
      <c r="DS43" s="315">
        <v>-11.2137168</v>
      </c>
      <c r="DU43" s="82">
        <v>333954.24</v>
      </c>
      <c r="DV43" s="82">
        <f ca="1">DU43-TabCalc[[#This Row],[M_V]]</f>
        <v>-33295.760000000009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151360</v>
      </c>
      <c r="G44" s="82">
        <f ca="1">IFERROR(TabCalc[[#This Row],[SB]]-TabCalc[[#This Row],[SST]],TabCalc[[#This Row],[SB]])</f>
        <v>16000</v>
      </c>
      <c r="H44" s="532" t="str">
        <f ca="1">[1]!RTData[[#This Row],[Ticker_Symbol]]</f>
        <v>SSYS</v>
      </c>
      <c r="I44" s="383">
        <f ca="1">_xlfn.XLOOKUP(TabCalc[[#This Row],[Ticker]],[1]!RTData[Ticker_Symbol],[1]!RTData[M-Price])</f>
        <v>9.4600000000000009</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0</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0.23120004141882433</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65,528 = $ 619,894</v>
      </c>
      <c r="Z44" s="211">
        <f ca="1">MIN(TabCalc[[#This Row],[L_Bn]],TabCalc[[#This Row],[NAfter]])*(TabCalc[[#This Row],[M]]+TabCalc[[#This Row],[L_Bp]])*TabCalc[[#This Row],[Scale]]</f>
        <v>630.0000000000025</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1374.0000000000023</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9922.5998999999974</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3599.9999999999945</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3200</v>
      </c>
      <c r="AQ44" s="334">
        <f ca="1">_xlfn.LET(_xlpm.MVToday,DataShift!AV544,         _xlpm.MVY,DataShift!AU545,        _xlpm.MVYY, DataShift!AT545,                                IF(_xlpm.MVToday=_xlpm.MVY,_xlpm.MVY-_xlpm.MVYY,_xlpm.MVToday-_xlpm.MVY))</f>
        <v>452220</v>
      </c>
      <c r="AR44" s="334">
        <f ca="1">_xlfn.LET(_xlpm.MVToday,DataShift!AV544,         _xlpm.MVY,DataShift!AU545,        _xlpm.MVYY, DataShift!AT545,         _xlpm.MVYYY, DataShift!AS545,                      IF(_xlpm.MVToday=_xlpm.MVY,      _xlpm.MVYY-_xlpm.MVYYY,          _xlpm.MVY-_xlpm.MVYY))</f>
        <v>4750</v>
      </c>
      <c r="AS44" s="984">
        <f ca="1">TabCalc[[#This Row],[Y]]/TabCalc[[#This Row],[M]]</f>
        <v>1.4094429175475687</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-0.46070585785660451</v>
      </c>
      <c r="AY44" s="82">
        <f t="shared" ca="1" si="5"/>
        <v>0</v>
      </c>
      <c r="AZ44" s="90">
        <f ca="1">_xlfn.XLOOKUP(TabCalc[[#This Row],[Ticker]],[1]!RTData[Ticker_Symbol],[1]!RTData[V/VA])</f>
        <v>0.53756772213783643</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0.53756772213783643</v>
      </c>
      <c r="BC44" s="87" cm="1">
        <f t="array" aca="1" ref="BC44" ca="1">INDEX(TabReg[], 1, _xlfn.XMATCH(TabCalc[[#This Row],[Ticker]]&amp;1, TabReg[#Headers], 0))</f>
        <v>16000</v>
      </c>
      <c r="BD44" s="159">
        <f ca="1">TabCalc[[#This Row],[Nbegin]]*TabCalc[[#This Row],[M]]*TabCalc[[#This Row],[Scale]]+TabCalc[[#This Row],[ValueBegin]]</f>
        <v>-723847.52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-723847.52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-705164.32010000001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79.9</v>
      </c>
      <c r="BR44" s="174" t="str">
        <f ca="1">IF(TabCalc[[#This Row],[EfCost]]+TabCalc[[#This Row],[M_V]]&lt;TabCalc[[#This Row],[NoT_GL]],"Pile","")</f>
        <v/>
      </c>
      <c r="BS44" s="165">
        <f ca="1">_xlfn.XLOOKUP(TabCalc[[#This Row],[Ticker]],[1]!RTData[Ticker_Symbol],[1]!RTData[Last trade time])</f>
        <v>45968.870751249997</v>
      </c>
      <c r="BT44" s="175">
        <f ca="1">(TabCalc[[#This Row],[ValueBegin]]+(TabCalc[[#This Row],[M]]-TabCalc[[#This Row],[A]])*TabCalc[[#This Row],[NAfter]])*TabCalc[[#This Row],[Scale]]</f>
        <v>-1190993.4100000001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-315785.89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1511.7005775875336</v>
      </c>
      <c r="CV44" s="404">
        <f ca="1">IF(TabCalc[[#This Row],[ntoBuy]]*TabCalc[[#This Row],[M]]&lt;=0,0,TabCalc[[#This Row],[ntoBuy]]*TabCalc[[#This Row],[M]])</f>
        <v>14300.687463978069</v>
      </c>
      <c r="CW44" s="404">
        <f ca="1">IF(TabCalc[[#This Row],[M]]&gt;ABS(TabCalc[[#This Row],[L_Bp]]),MIN(TabCalc[[#This Row],[NAfter]],DesiredSaleGain/(TabCalc[[#This Row],[M]]+TabCalc[[#This Row],[L_Bp]])),0)/TabCalc[[#This Row],[Scale]]</f>
        <v>16000</v>
      </c>
      <c r="CX44" s="405">
        <f ca="1">TabCalc[[#This Row],[ntoSell]]*TabCalc[[#This Row],[M]]</f>
        <v>151360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-315785.89</v>
      </c>
      <c r="DB44" s="90">
        <f ca="1">IFERROR((TabCalc[[#This Row],[M]]+TabCalc[[#This Row],[L_Bp]])/ABS(TabCalc[[#This Row],[L_Bp]])/(TODAY()-TabCalc[[#This Row],[L_Bdate]])*360,"")</f>
        <v>2.6884779516358571E-2</v>
      </c>
      <c r="DC44" s="310">
        <f ca="1">MEDIAN(DataShift!F744:Z744)</f>
        <v>-4.0100000000000005E-3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151360</v>
      </c>
      <c r="DF44" s="87" cm="1">
        <f t="array" aca="1" ref="DF44" ca="1">SUMPRODUCT(ISNUMBER(INDIRECT("TabReg["&amp;TabCalc[[#This Row],[Ticker]]&amp;"2]"))* INDIRECT("TabReg["&amp;TabCalc[[#This Row],[Ticker]]&amp;"1]") * INDIRECT("TabReg["&amp;TabCalc[[#This Row],[Ticker]]&amp;"2]") )*TabCalc[[#This Row],[Scale]]</f>
        <v>-856524.32010000001</v>
      </c>
      <c r="DI44" s="87">
        <f ca="1"/>
        <v>158460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6560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430.03</v>
      </c>
      <c r="G45" s="82">
        <f ca="1">IFERROR(TabCalc[[#This Row],[SB]]-TabCalc[[#This Row],[SST]],TabCalc[[#This Row],[SB]])</f>
        <v>1</v>
      </c>
      <c r="H45" s="532" t="str">
        <f ca="1">[1]!RTData[[#This Row],[Ticker_Symbol]]</f>
        <v>TSLA</v>
      </c>
      <c r="I45" s="383">
        <f ca="1">_xlfn.XLOOKUP(TabCalc[[#This Row],[Ticker]],[1]!RTData[Ticker_Symbol],[1]!RTData[M-Price])</f>
        <v>430.03</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-3.5612999999999999E-2</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0.10955659259127812</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93.519999999999982</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47.867999999999995</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-22.40999999999957</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-37478.999999999985</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-7.57000000000005</v>
      </c>
      <c r="AQ45" s="334">
        <f ca="1">_xlfn.LET(_xlpm.MVToday,DataShift!AV545,         _xlpm.MVY,DataShift!AU546,        _xlpm.MVYY, DataShift!AT546,                                IF(_xlpm.MVToday=_xlpm.MVY,_xlpm.MVY-_xlpm.MVYY,_xlpm.MVToday-_xlpm.MVY))</f>
        <v>215890</v>
      </c>
      <c r="AR45" s="334">
        <f ca="1">_xlfn.LET(_xlpm.MVToday,DataShift!AV545,         _xlpm.MVY,DataShift!AU546,        _xlpm.MVYY, DataShift!AT546,         _xlpm.MVYYY, DataShift!AS546,                      IF(_xlpm.MVToday=_xlpm.MVY,      _xlpm.MVYY-_xlpm.MVYYY,          _xlpm.MVY-_xlpm.MVYY))</f>
        <v>0</v>
      </c>
      <c r="AS45" s="984">
        <f ca="1">TabCalc[[#This Row],[Y]]/TabCalc[[#This Row],[M]]</f>
        <v>0.90997848987279972</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0.34475177404432245</v>
      </c>
      <c r="AY45" s="82">
        <f t="shared" ca="1" si="5"/>
        <v>499</v>
      </c>
      <c r="AZ45" s="90">
        <f ca="1">_xlfn.XLOOKUP(TabCalc[[#This Row],[Ticker]],[1]!RTData[Ticker_Symbol],[1]!RTData[V/VA])</f>
        <v>1.0965756499001196</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1.0965756499001196</v>
      </c>
      <c r="BC45" s="87" cm="1">
        <f t="array" aca="1" ref="BC45" ca="1">INDEX(TabReg[], 1, _xlfn.XMATCH(TabCalc[[#This Row],[Ticker]]&amp;1, TabReg[#Headers], 0))</f>
        <v>500</v>
      </c>
      <c r="BD45" s="159">
        <f ca="1">TabCalc[[#This Row],[Nbegin]]*TabCalc[[#This Row],[M]]*TabCalc[[#This Row],[Scale]]+TabCalc[[#This Row],[ValueBegin]]</f>
        <v>128741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-85843.97</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87655.79</v>
      </c>
      <c r="BM45" s="159">
        <f ca="1">IF(        OR( TabCalc[[#This Row],[GL]]&gt;ABS(TabCalc[[#This Row],[EfCost]]),TabCalc[[#This Row],[NAfter]]=0),             TabCalc[[#This Row],[GL]],     0)</f>
        <v>87655.79</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4" t="str">
        <f ca="1">IF(TabCalc[[#This Row],[EfCost]]+TabCalc[[#This Row],[M_V]]&lt;TabCalc[[#This Row],[NoT_GL]],"Pile","")</f>
        <v>Pile</v>
      </c>
      <c r="BS45" s="165">
        <f ca="1">_xlfn.XLOOKUP(TabCalc[[#This Row],[Ticker]],[1]!RTData[Ticker_Symbol],[1]!RTData[Last trade time])</f>
        <v>45968.870779015626</v>
      </c>
      <c r="BT45" s="175">
        <f ca="1">(TabCalc[[#This Row],[ValueBegin]]+(TabCalc[[#This Row],[M]]-TabCalc[[#This Row],[A]])*TabCalc[[#This Row],[NAfter]])*TabCalc[[#This Row],[Scale]]</f>
        <v>-86180.479999999996</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93.519999999999982</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0</v>
      </c>
      <c r="CV45" s="404">
        <f ca="1">IF(TabCalc[[#This Row],[ntoBuy]]*TabCalc[[#This Row],[M]]&lt;=0,0,TabCalc[[#This Row],[ntoBuy]]*TabCalc[[#This Row],[M]])</f>
        <v>0</v>
      </c>
      <c r="CW45" s="404">
        <f ca="1">IF(TabCalc[[#This Row],[M]]&gt;ABS(TabCalc[[#This Row],[L_Bp]]),MIN(TabCalc[[#This Row],[NAfter]],DesiredSaleGain/(TabCalc[[#This Row],[M]]+TabCalc[[#This Row],[L_Bp]])),0)/TabCalc[[#This Row],[Scale]]</f>
        <v>1</v>
      </c>
      <c r="CX45" s="405">
        <f ca="1">TabCalc[[#This Row],[ntoSell]]*TabCalc[[#This Row],[M]]</f>
        <v>430.03</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93.519999999999982</v>
      </c>
      <c r="DB45" s="90">
        <f ca="1">IFERROR((TabCalc[[#This Row],[M]]+TabCalc[[#This Row],[L_Bp]])/ABS(TabCalc[[#This Row],[L_Bp]])/(TODAY()-TabCalc[[#This Row],[L_Bdate]])*360,"")</f>
        <v>0.37331395975458359</v>
      </c>
      <c r="DC45" s="310">
        <f ca="1">MEDIAN(DataShift!F745:Z745)</f>
        <v>-6.672E-3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215015</v>
      </c>
      <c r="DF45" s="87" cm="1">
        <f t="array" aca="1" ref="DF45" ca="1">SUMPRODUCT(ISNUMBER(INDIRECT("TabReg["&amp;TabCalc[[#This Row],[Ticker]]&amp;"2]"))* INDIRECT("TabReg["&amp;TabCalc[[#This Row],[Ticker]]&amp;"1]") * INDIRECT("TabReg["&amp;TabCalc[[#This Row],[Ticker]]&amp;"2]") )*TabCalc[[#This Row],[Scale]]</f>
        <v>87225.76</v>
      </c>
      <c r="DI45" s="87">
        <f ca="1"/>
        <v>157680</v>
      </c>
      <c r="DJ45" s="90">
        <f t="shared" ca="1" si="3"/>
        <v>-0.20517830763549075</v>
      </c>
      <c r="DK45" t="str">
        <f ca="1">_xlfn.XLOOKUP(DI45,TabCalc[Column1],TabCalc[Ticker])</f>
        <v>CVS</v>
      </c>
      <c r="DL45" s="87">
        <f ca="1">_xlfn.XLOOKUP(DK45,TabCalc[Ticker],TabCalc[ValueBegin])</f>
        <v>-216620</v>
      </c>
      <c r="DM45" s="87">
        <f ca="1">_xlfn.XLOOKUP(DK45,TabCalc[Ticker],TabCalc[M_V])</f>
        <v>78.84</v>
      </c>
      <c r="DN45" s="87">
        <f ca="1">_xlfn.XLOOKUP(DK45,TabCalc[Ticker],TabCalc[GL])</f>
        <v>-44445.725000000006</v>
      </c>
      <c r="DO45" s="90"/>
      <c r="DP45" s="90"/>
      <c r="DQ45" s="88" t="s">
        <v>41</v>
      </c>
      <c r="DR45" s="81">
        <v>2000</v>
      </c>
      <c r="DS45" s="315">
        <v>-6.93</v>
      </c>
      <c r="DU45" s="82">
        <v>444.26</v>
      </c>
      <c r="DV45" s="82">
        <f ca="1">DU45-TabCalc[[#This Row],[M_V]]</f>
        <v>14.230000000000018</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1286325</v>
      </c>
      <c r="G46" s="82">
        <f ca="1">IFERROR(TabCalc[[#This Row],[SB]]-TabCalc[[#This Row],[SST]],TabCalc[[#This Row],[SB]])</f>
        <v>4500</v>
      </c>
      <c r="H46" s="532" t="str">
        <f ca="1">[1]!RTData[[#This Row],[Ticker_Symbol]]</f>
        <v>TSM</v>
      </c>
      <c r="I46" s="383">
        <f ca="1">_xlfn.XLOOKUP(TabCalc[[#This Row],[Ticker]],[1]!RTData[Ticker_Symbol],[1]!RTData[M-Price])</f>
        <v>285.85000000000002</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-1.172E-2</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0.14243937396498615</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-441.9999999999618</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50600.000000000022</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900</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5274.9999999999773</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3352.5</v>
      </c>
      <c r="AQ46" s="334">
        <f ca="1">_xlfn.LET(_xlpm.MVToday,DataShift!AV546,         _xlpm.MVY,DataShift!AU547,        _xlpm.MVYY, DataShift!AT547,                                IF(_xlpm.MVToday=_xlpm.MVY,_xlpm.MVY-_xlpm.MVYY,_xlpm.MVToday-_xlpm.MVY))</f>
        <v>150929.97</v>
      </c>
      <c r="AR46" s="334">
        <f ca="1">_xlfn.LET(_xlpm.MVToday,DataShift!AV546,         _xlpm.MVY,DataShift!AU547,        _xlpm.MVYY, DataShift!AT547,         _xlpm.MVYYY, DataShift!AS547,                      IF(_xlpm.MVToday=_xlpm.MVY,      _xlpm.MVYY-_xlpm.MVYYY,          _xlpm.MVY-_xlpm.MVYY))</f>
        <v>-14.979900000000043</v>
      </c>
      <c r="AS46" s="984">
        <f ca="1">TabCalc[[#This Row],[Y]]/TabCalc[[#This Row],[M]]</f>
        <v>1.1733317474199754</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-1.2686789110635863</v>
      </c>
      <c r="AY46" s="82">
        <f t="shared" ca="1" si="5"/>
        <v>0</v>
      </c>
      <c r="AZ46" s="90">
        <f ca="1">_xlfn.XLOOKUP(TabCalc[[#This Row],[Ticker]],[1]!RTData[Ticker_Symbol],[1]!RTData[V/VA])</f>
        <v>0.9367792081917965</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0.9367792081917965</v>
      </c>
      <c r="BC46" s="87" cm="1">
        <f t="array" aca="1" ref="BC46" ca="1">INDEX(TabReg[], 1, _xlfn.XMATCH(TabCalc[[#This Row],[Ticker]]&amp;1, TabReg[#Headers], 0))</f>
        <v>2000</v>
      </c>
      <c r="BD46" s="159">
        <f ca="1">TabCalc[[#This Row],[Nbegin]]*TabCalc[[#This Row],[M]]*TabCalc[[#This Row],[Scale]]+TabCalc[[#This Row],[ValueBegin]]</f>
        <v>371700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1086325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903428.92200000002</v>
      </c>
      <c r="BM46" s="159">
        <f ca="1">IF(        OR( TabCalc[[#This Row],[GL]]&gt;ABS(TabCalc[[#This Row],[EfCost]]),TabCalc[[#This Row],[NAfter]]=0),             TabCalc[[#This Row],[GL]],     0)</f>
        <v>903428.92200000002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141.31</v>
      </c>
      <c r="BR46" s="174" t="str">
        <f ca="1">IF(TabCalc[[#This Row],[EfCost]]+TabCalc[[#This Row],[M_V]]&lt;TabCalc[[#This Row],[NoT_GL]],"Pile","")</f>
        <v/>
      </c>
      <c r="BS46" s="165">
        <f ca="1">_xlfn.XLOOKUP(TabCalc[[#This Row],[Ticker]],[1]!RTData[Ticker_Symbol],[1]!RTData[Last trade time])</f>
        <v>45968.870792499998</v>
      </c>
      <c r="BT46" s="175">
        <f ca="1">(TabCalc[[#This Row],[ValueBegin]]+(TabCalc[[#This Row],[M]]-TabCalc[[#This Row],[A]])*TabCalc[[#This Row],[NAfter]])*TabCalc[[#This Row],[Scale]]</f>
        <v>168537.3193750002</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368537.3193750002</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1666.6666666666667</v>
      </c>
      <c r="CV46" s="404">
        <f ca="1">IF(TabCalc[[#This Row],[ntoBuy]]*TabCalc[[#This Row],[M]]&lt;=0,0,TabCalc[[#This Row],[ntoBuy]]*TabCalc[[#This Row],[M]])</f>
        <v>476416.66666666674</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61</v>
      </c>
      <c r="CZ46" s="336">
        <f ca="1">IFERROR(TabCalc[[#This Row],[NMA]]*TabCalc[[#This Row],[M]],"")</f>
        <v>17436.850000000002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368537.3193750002</v>
      </c>
      <c r="DB46" s="90">
        <f ca="1">IFERROR((TabCalc[[#This Row],[M]]+TabCalc[[#This Row],[L_Bp]])/ABS(TabCalc[[#This Row],[L_Bp]])/(TODAY()-TabCalc[[#This Row],[L_Bdate]])*360,"")</f>
        <v>-4.3404823631074889E-2</v>
      </c>
      <c r="DC46" s="310">
        <f ca="1">MEDIAN(DataShift!F746:Z746)</f>
        <v>-8.202000000000001E-3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571700</v>
      </c>
      <c r="DF46" s="87" cm="1">
        <f t="array" aca="1" ref="DF46" ca="1">SUMPRODUCT(ISNUMBER(INDIRECT("TabReg["&amp;TabCalc[[#This Row],[Ticker]]&amp;"2]"))* INDIRECT("TabReg["&amp;TabCalc[[#This Row],[Ticker]]&amp;"1]") * INDIRECT("TabReg["&amp;TabCalc[[#This Row],[Ticker]]&amp;"2]") )*TabCalc[[#This Row],[Scale]]</f>
        <v>-382896.07799999998</v>
      </c>
      <c r="DI46" s="87">
        <f ca="1"/>
        <v>151360</v>
      </c>
      <c r="DJ46" s="90">
        <f t="shared" ca="1" si="3"/>
        <v>-0.80571099309110139</v>
      </c>
      <c r="DK46" t="str">
        <f ca="1">_xlfn.XLOOKUP(DI46,TabCalc[Column1],TabCalc[Ticker])</f>
        <v>SSYS</v>
      </c>
      <c r="DL46" s="87">
        <f ca="1">_xlfn.XLOOKUP(DK46,TabCalc[Ticker],TabCalc[ValueBegin])</f>
        <v>-875207.52</v>
      </c>
      <c r="DM46" s="87">
        <f ca="1">_xlfn.XLOOKUP(DK46,TabCalc[Ticker],TabCalc[M_V])</f>
        <v>151360</v>
      </c>
      <c r="DN46" s="87">
        <f ca="1">_xlfn.XLOOKUP(DK46,TabCalc[Ticker],TabCalc[GL])</f>
        <v>-705164.32010000001</v>
      </c>
      <c r="DO46" s="90"/>
      <c r="DP46" s="90"/>
      <c r="DQ46" s="88" t="s">
        <v>42</v>
      </c>
      <c r="DR46" s="81">
        <v>7300</v>
      </c>
      <c r="DS46" s="315">
        <v>-10.784000000000001</v>
      </c>
      <c r="DU46" s="82">
        <v>1411680</v>
      </c>
      <c r="DV46" s="82">
        <f ca="1">DU46-TabCalc[[#This Row],[M_V]]</f>
        <v>125355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85500</v>
      </c>
      <c r="G47" s="82">
        <f ca="1">IFERROR(TabCalc[[#This Row],[SB]]-TabCalc[[#This Row],[SST]],TabCalc[[#This Row],[SB]])</f>
        <v>3000</v>
      </c>
      <c r="H47" s="532" t="str">
        <f ca="1">[1]!RTData[[#This Row],[Ticker_Symbol]]</f>
        <v>UN0</v>
      </c>
      <c r="I47" s="383">
        <f ca="1">_xlfn.XLOOKUP(TabCalc[[#This Row],[Ticker]],[1]!RTData[Ticker_Symbol],[1]!RTData[M-Price])</f>
        <v>28.5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1.9678000000000001E-2</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0.12071077785619926</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-4,379 = $ -124,802</v>
      </c>
      <c r="Z47" s="211">
        <f ca="1">MIN(TabCalc[[#This Row],[L_Bn]],TabCalc[[#This Row],[NAfter]])*(TabCalc[[#This Row],[M]]+TabCalc[[#This Row],[L_Bp]])*TabCalc[[#This Row],[Scale]]</f>
        <v>-3059.244999999999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-4973.1000000000013</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5529.5694999999987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37174.999999999993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300</v>
      </c>
      <c r="AQ47" s="334">
        <f ca="1">_xlfn.LET(_xlpm.MVToday,DataShift!AV547,         _xlpm.MVY,DataShift!AU548,        _xlpm.MVYY, DataShift!AT548,                                IF(_xlpm.MVToday=_xlpm.MVY,_xlpm.MVY-_xlpm.MVYY,_xlpm.MVToday-_xlpm.MVY))</f>
        <v>-1285894.97</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1.1342155009451797E-2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1.1342155009451797E-2</v>
      </c>
      <c r="BC47" s="87" cm="1">
        <f t="array" aca="1" ref="BC47" ca="1">INDEX(TabReg[], 1, _xlfn.XMATCH(TabCalc[[#This Row],[Ticker]]&amp;1, TabReg[#Headers], 0))</f>
        <v>700</v>
      </c>
      <c r="BD47" s="159">
        <f ca="1">TabCalc[[#This Row],[Nbegin]]*TabCalc[[#This Row],[M]]*TabCalc[[#This Row],[Scale]]+TabCalc[[#This Row],[ValueBegin]]</f>
        <v>-164444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-98894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-203682.19500000001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135.6</v>
      </c>
      <c r="BR47" s="174" t="str">
        <f ca="1">IF(TabCalc[[#This Row],[EfCost]]+TabCalc[[#This Row],[M_V]]&lt;TabCalc[[#This Row],[NoT_GL]],"Pile","")</f>
        <v>Pile</v>
      </c>
      <c r="BS47" s="165">
        <f ca="1">_xlfn.XLOOKUP(TabCalc[[#This Row],[Ticker]],[1]!RTData[Ticker_Symbol],[1]!RTData[Last trade time])</f>
        <v>45968.834722222222</v>
      </c>
      <c r="BT47" s="175">
        <f ca="1">(TabCalc[[#This Row],[ValueBegin]]+(TabCalc[[#This Row],[M]]-TabCalc[[#This Row],[A]])*TabCalc[[#This Row],[NAfter]])*TabCalc[[#This Row],[Scale]]</f>
        <v>-223692.05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-39298.050000000003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316.48033359559008</v>
      </c>
      <c r="CV47" s="404">
        <f ca="1">IF(TabCalc[[#This Row],[ntoBuy]]*TabCalc[[#This Row],[M]]&lt;=0,0,TabCalc[[#This Row],[ntoBuy]]*TabCalc[[#This Row],[M]])</f>
        <v>9019.689507474317</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-39298.050000000003</v>
      </c>
      <c r="DB47" s="90">
        <f ca="1">IFERROR((TabCalc[[#This Row],[M]]+TabCalc[[#This Row],[L_Bp]])/ABS(TabCalc[[#This Row],[L_Bp]])/(TODAY()-TabCalc[[#This Row],[L_Bdate]])*360,"")</f>
        <v>-0.75441941593088035</v>
      </c>
      <c r="DC47" s="310">
        <f ca="1">MEDIAN(DataShift!F747:Z747)</f>
        <v>-1.172E-2</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19950</v>
      </c>
      <c r="DF47" s="87" cm="1">
        <f t="array" aca="1" ref="DF47" ca="1">SUMPRODUCT(ISNUMBER(INDIRECT("TabReg["&amp;TabCalc[[#This Row],[Ticker]]&amp;"2]"))* INDIRECT("TabReg["&amp;TabCalc[[#This Row],[Ticker]]&amp;"1]") * INDIRECT("TabReg["&amp;TabCalc[[#This Row],[Ticker]]&amp;"2]") )*TabCalc[[#This Row],[Scale]]</f>
        <v>-289182.19500000001</v>
      </c>
      <c r="DI47" s="87">
        <f ca="1"/>
        <v>139328</v>
      </c>
      <c r="DJ47" s="90">
        <f t="shared" ca="1" si="3"/>
        <v>1.768100342674628</v>
      </c>
      <c r="DK47" t="str">
        <f ca="1">_xlfn.XLOOKUP(DI47,TabCalc[Column1],TabCalc[Ticker])</f>
        <v>SAFASML</v>
      </c>
      <c r="DL47" s="87">
        <f ca="1">_xlfn.XLOOKUP(DK47,TabCalc[Ticker],TabCalc[ValueBegin])</f>
        <v>-99686.399999999994</v>
      </c>
      <c r="DM47" s="87">
        <f ca="1">_xlfn.XLOOKUP(DK47,TabCalc[Ticker],TabCalc[M_V])</f>
        <v>217700</v>
      </c>
      <c r="DN47" s="87">
        <f ca="1">_xlfn.XLOOKUP(DK47,TabCalc[Ticker],TabCalc[GL])</f>
        <v>176255.55800000002</v>
      </c>
      <c r="DO47" s="90"/>
      <c r="DP47" s="90"/>
      <c r="DQ47" s="88" t="s">
        <v>43</v>
      </c>
      <c r="DR47" s="81">
        <v>2000</v>
      </c>
      <c r="DS47" s="315">
        <v>-100</v>
      </c>
      <c r="DU47" s="82">
        <v>88800</v>
      </c>
      <c r="DV47" s="82">
        <f ca="1">DU47-TabCalc[[#This Row],[M_V]]</f>
        <v>3300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47497.775000000001</v>
      </c>
      <c r="G48" s="82">
        <f ca="1">IFERROR(TabCalc[[#This Row],[SB]]-TabCalc[[#This Row],[SST]],TabCalc[[#This Row],[SB]])</f>
        <v>7235</v>
      </c>
      <c r="H48" s="532" t="str">
        <f ca="1">[1]!RTData[[#This Row],[Ticker_Symbol]]</f>
        <v>UNIT</v>
      </c>
      <c r="I48" s="383">
        <f ca="1">_xlfn.XLOOKUP(TabCalc[[#This Row],[Ticker]],[1]!RTData[Ticker_Symbol],[1]!RTData[M-Price])</f>
        <v>6.5650000000000004</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4.8722000000000001E-2</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0.12729591338314863</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15,848 = $ 104,042</v>
      </c>
      <c r="Z48" s="211">
        <f ca="1">MIN(TabCalc[[#This Row],[L_Bn]],TabCalc[[#This Row],[NAfter]])*(TabCalc[[#This Row],[M]]+TabCalc[[#This Row],[L_Bp]])*TabCalc[[#This Row],[Scale]]</f>
        <v>-19787.725000000002</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2351.375</v>
      </c>
      <c r="AQ48" s="334">
        <f ca="1">_xlfn.LET(_xlpm.MVToday,DataShift!AV548,         _xlpm.MVY,DataShift!AU549,        _xlpm.MVYY, DataShift!AT549,                                IF(_xlpm.MVToday=_xlpm.MVY,_xlpm.MVY-_xlpm.MVYY,_xlpm.MVToday-_xlpm.MVY))</f>
        <v>1200825</v>
      </c>
      <c r="AR48" s="334">
        <f ca="1">_xlfn.LET(_xlpm.MVToday,DataShift!AV548,         _xlpm.MVY,DataShift!AU549,        _xlpm.MVYY, DataShift!AT549,         _xlpm.MVYYY, DataShift!AS549,                      IF(_xlpm.MVToday=_xlpm.MVY,      _xlpm.MVYY-_xlpm.MVYYY,          _xlpm.MVY-_xlpm.MVYY))</f>
        <v>1650</v>
      </c>
      <c r="AS48" s="984">
        <f ca="1">TabCalc[[#This Row],[Y]]/TabCalc[[#This Row],[M]]</f>
        <v>1.1305742574257425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-1.292731501530045E-2</v>
      </c>
      <c r="AY48" s="82">
        <f t="shared" ca="1" si="5"/>
        <v>0</v>
      </c>
      <c r="AZ48" s="90">
        <f ca="1">_xlfn.XLOOKUP(TabCalc[[#This Row],[Ticker]],[1]!RTData[Ticker_Symbol],[1]!RTData[V/VA])</f>
        <v>0.91417887555869204</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0.91417887555869204</v>
      </c>
      <c r="BC48" s="87" cm="1">
        <f t="array" aca="1" ref="BC48" ca="1">INDEX(TabReg[], 1, _xlfn.XMATCH(TabCalc[[#This Row],[Ticker]]&amp;1, TabReg[#Headers], 0))</f>
        <v>7235</v>
      </c>
      <c r="BD48" s="159">
        <f ca="1">TabCalc[[#This Row],[Nbegin]]*TabCalc[[#This Row],[M]]*TabCalc[[#This Row],[Scale]]+TabCalc[[#This Row],[ValueBegin]]</f>
        <v>-47510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-13142.224999999999</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-19787.724999999999</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45968.870776631251</v>
      </c>
      <c r="BT48" s="175">
        <f ca="1">(TabCalc[[#This Row],[ValueBegin]]+(TabCalc[[#This Row],[M]]-TabCalc[[#This Row],[A]])*TabCalc[[#This Row],[NAfter]])*TabCalc[[#This Row],[Scale]]</f>
        <v>-80427.725000000006</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-19787.725000000002</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-19787.725000000002</v>
      </c>
      <c r="DB48" s="90">
        <f ca="1">IFERROR((TabCalc[[#This Row],[M]]+TabCalc[[#This Row],[L_Bp]])/ABS(TabCalc[[#This Row],[L_Bp]])/(TODAY()-TabCalc[[#This Row],[L_Bdate]])*360,"")</f>
        <v>-1.1262868908716541</v>
      </c>
      <c r="DC48" s="310">
        <f ca="1">MEDIAN(DataShift!F748:Z748)</f>
        <v>1.585E-3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13130</v>
      </c>
      <c r="DF48" s="87" cm="1">
        <f t="array" aca="1" ref="DF48" ca="1">SUMPRODUCT(ISNUMBER(INDIRECT("TabReg["&amp;TabCalc[[#This Row],[Ticker]]&amp;"2]"))* INDIRECT("TabReg["&amp;TabCalc[[#This Row],[Ticker]]&amp;"1]") * INDIRECT("TabReg["&amp;TabCalc[[#This Row],[Ticker]]&amp;"2]") )*TabCalc[[#This Row],[Scale]]</f>
        <v>-67285.5</v>
      </c>
      <c r="DI48" s="87">
        <f ca="1"/>
        <v>133998.5</v>
      </c>
      <c r="DJ48" s="90">
        <f t="shared" ca="1" si="3"/>
        <v>3.6705571177912799</v>
      </c>
      <c r="DK48" t="str">
        <f ca="1">_xlfn.XLOOKUP(DI48,TabCalc[Column1],TabCalc[Ticker])</f>
        <v>SAFAAPL</v>
      </c>
      <c r="DL48" s="87">
        <f ca="1">_xlfn.XLOOKUP(DK48,TabCalc[Ticker],TabCalc[ValueBegin])</f>
        <v>-34423.60000000002</v>
      </c>
      <c r="DM48" s="87">
        <f ca="1">_xlfn.XLOOKUP(DK48,TabCalc[Ticker],TabCalc[M_V])</f>
        <v>93798.950000000012</v>
      </c>
      <c r="DN48" s="87">
        <f ca="1">_xlfn.XLOOKUP(DK48,TabCalc[Ticker],TabCalc[GL])</f>
        <v>126353.78999999998</v>
      </c>
      <c r="DO48" s="90"/>
      <c r="DP48" s="90"/>
      <c r="DQ48" s="88" t="s">
        <v>44</v>
      </c>
      <c r="DR48" s="81">
        <v>700</v>
      </c>
      <c r="DS48" s="315">
        <v>-263.42</v>
      </c>
      <c r="DU48" s="82">
        <v>43410</v>
      </c>
      <c r="DV48" s="82">
        <f ca="1">DU48-TabCalc[[#This Row],[M_V]]</f>
        <v>-4087.7750000000015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82249.5</v>
      </c>
      <c r="G49" s="82">
        <f ca="1">IFERROR(TabCalc[[#This Row],[SB]]-TabCalc[[#This Row],[SST]],TabCalc[[#This Row],[SB]])</f>
        <v>3000</v>
      </c>
      <c r="H49" s="532" t="str">
        <f ca="1">[1]!RTData[[#This Row],[Ticker_Symbol]]</f>
        <v>VLVLY</v>
      </c>
      <c r="I49" s="383">
        <f ca="1">_xlfn.XLOOKUP(TabCalc[[#This Row],[Ticker]],[1]!RTData[Ticker_Symbol],[1]!RTData[M-Price])</f>
        <v>27.416499999999999</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5.372E-3</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-0.47184301635797077</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-875.25000000000114</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9799.5000000000018</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1331.7499999999995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-6079.4999999999964</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1129.5</v>
      </c>
      <c r="AQ49" s="334">
        <f ca="1">_xlfn.LET(_xlpm.MVToday,DataShift!AV549,         _xlpm.MVY,DataShift!AU550,        _xlpm.MVYY, DataShift!AT550,                                IF(_xlpm.MVToday=_xlpm.MVY,_xlpm.MVY-_xlpm.MVYY,_xlpm.MVToday-_xlpm.MVY))</f>
        <v>38002.224999999999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1.2401291193259534</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-0.30611146149417867</v>
      </c>
      <c r="AY49" s="82">
        <f t="shared" ca="1" si="5"/>
        <v>7000</v>
      </c>
      <c r="AZ49" s="90">
        <f ca="1">_xlfn.XLOOKUP(TabCalc[[#This Row],[Ticker]],[1]!RTData[Ticker_Symbol],[1]!RTData[V/VA])</f>
        <v>2.7336551328617856E-2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2.7336551328617856E-2</v>
      </c>
      <c r="BC49" s="87" cm="1">
        <f t="array" aca="1" ref="BC49" ca="1">INDEX(TabReg[], 1, _xlfn.XMATCH(TabCalc[[#This Row],[Ticker]]&amp;1, TabReg[#Headers], 0))</f>
        <v>10000</v>
      </c>
      <c r="BD49" s="159">
        <f ca="1">TabCalc[[#This Row],[Nbegin]]*TabCalc[[#This Row],[M]]*TabCalc[[#This Row],[Scale]]+TabCalc[[#This Row],[ValueBegin]]</f>
        <v>82865</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-109050.5</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94145.87</v>
      </c>
      <c r="BM49" s="159">
        <f ca="1">IF(        OR( TabCalc[[#This Row],[GL]]&gt;ABS(TabCalc[[#This Row],[EfCost]]),TabCalc[[#This Row],[NAfter]]=0),             TabCalc[[#This Row],[GL]],     0)</f>
        <v>94145.87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45968.859047638281</v>
      </c>
      <c r="BT49" s="175">
        <f ca="1">(TabCalc[[#This Row],[ValueBegin]]+(TabCalc[[#This Row],[M]]-TabCalc[[#This Row],[A]])*TabCalc[[#This Row],[NAfter]])*TabCalc[[#This Row],[Scale]]</f>
        <v>-187275.5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4024.4999999999995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1877.2292096865033</v>
      </c>
      <c r="CV49" s="404">
        <f ca="1">IF(TabCalc[[#This Row],[ntoBuy]]*TabCalc[[#This Row],[M]]&lt;=0,0,TabCalc[[#This Row],[ntoBuy]]*TabCalc[[#This Row],[M]])</f>
        <v>51467.054627370017</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0</v>
      </c>
      <c r="CZ49" s="336">
        <f ca="1">IFERROR(TabCalc[[#This Row],[NMA]]*TabCalc[[#This Row],[M]],"")</f>
        <v>0</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4024.4999999999995</v>
      </c>
      <c r="DB49" s="90">
        <f ca="1">IFERROR((TabCalc[[#This Row],[M]]+TabCalc[[#This Row],[L_Bp]])/ABS(TabCalc[[#This Row],[L_Bp]])/(TODAY()-TabCalc[[#This Row],[L_Bdate]])*360,"")</f>
        <v>-0.83357142857142974</v>
      </c>
      <c r="DC49" s="310">
        <f ca="1">MEDIAN(DataShift!F749:Z749)</f>
        <v>-5.1370000000000001E-3</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274165</v>
      </c>
      <c r="DF49" s="87" cm="1">
        <f t="array" aca="1" ref="DF49" ca="1">SUMPRODUCT(ISNUMBER(INDIRECT("TabReg["&amp;TabCalc[[#This Row],[Ticker]]&amp;"2]"))* INDIRECT("TabReg["&amp;TabCalc[[#This Row],[Ticker]]&amp;"1]") * INDIRECT("TabReg["&amp;TabCalc[[#This Row],[Ticker]]&amp;"2]") )*TabCalc[[#This Row],[Scale]]</f>
        <v>11896.369999999995</v>
      </c>
      <c r="DI49" s="87">
        <f ca="1"/>
        <v>126405</v>
      </c>
      <c r="DJ49" s="90">
        <f t="shared" ca="1" si="3"/>
        <v>0.45907096144445508</v>
      </c>
      <c r="DK49" t="str">
        <f ca="1">_xlfn.XLOOKUP(DI49,TabCalc[Column1],TabCalc[Ticker])</f>
        <v>ADEA</v>
      </c>
      <c r="DL49" s="87">
        <f ca="1">_xlfn.XLOOKUP(DK49,TabCalc[Ticker],TabCalc[ValueBegin])</f>
        <v>-88529.004000000001</v>
      </c>
      <c r="DM49" s="87">
        <f ca="1">_xlfn.XLOOKUP(DK49,TabCalc[Ticker],TabCalc[M_V])</f>
        <v>70225</v>
      </c>
      <c r="DN49" s="87">
        <f ca="1">_xlfn.XLOOKUP(DK49,TabCalc[Ticker],TabCalc[GL])</f>
        <v>40641.09498200001</v>
      </c>
      <c r="DO49" s="90"/>
      <c r="DP49" s="90"/>
      <c r="DQ49" s="88" t="s">
        <v>45</v>
      </c>
      <c r="DR49" s="81">
        <v>2000</v>
      </c>
      <c r="DS49" s="315">
        <v>-30.32</v>
      </c>
      <c r="DU49" s="82">
        <v>40230</v>
      </c>
      <c r="DV49" s="82">
        <f ca="1">DU49-TabCalc[[#This Row],[M_V]]</f>
        <v>-42019.5</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1166000</v>
      </c>
      <c r="G50" s="82">
        <f ca="1">IFERROR(TabCalc[[#This Row],[SB]]-TabCalc[[#This Row],[SST]],TabCalc[[#This Row],[SB]])</f>
        <v>20000</v>
      </c>
      <c r="H50" s="532" t="str">
        <f ca="1">[1]!RTData[[#This Row],[Ticker_Symbol]]</f>
        <v>VONN</v>
      </c>
      <c r="I50" s="383">
        <f ca="1">_xlfn.XLOOKUP(TabCalc[[#This Row],[Ticker]],[1]!RTData[Ticker_Symbol],[1]!RTData[M-Price])</f>
        <v>58.3</v>
      </c>
      <c r="J50" s="382">
        <v>59.516111111111108</v>
      </c>
      <c r="K50" s="381">
        <f ca="1">_xlfn.XLOOKUP(TabCalc[[#This Row],[Ticker]],[1]!RTData[Ticker_Symbol],[1]!RTData[1YT])</f>
        <v>61.5</v>
      </c>
      <c r="L50" s="382">
        <f ca="1">IF(OR(TabCalc[[#This Row],[NAfter]]=0,TabCalc[[#This Row],[EfCost]]&gt;0),0,TabCalc[[#This Row],[EfCost]]/TabCalc[[#This Row],[NAfter]]/TabCalc[[#This Row],[Scale]])</f>
        <v>-52.274784500000003</v>
      </c>
      <c r="M50" s="732">
        <f ca="1">_xlfn.XLOOKUP(TabCalc[[#This Row],[Ticker]],[1]!RTData[Ticker_Symbol],[1]!RTData[Change%])</f>
        <v>1.7180000000000001E-3</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-300.00000000001137</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-1000</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60.900000000000119</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60.900000000000119</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-2000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1.0548885077186965</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B_more</v>
      </c>
      <c r="AW50" s="82">
        <f ca="1">TabCalc[[#This Row],[NAfter]]-TabCalc[[#This Row],[Nbegin]]</f>
        <v>0</v>
      </c>
      <c r="AX50" s="305">
        <f ca="1">IFERROR((TabCalc[[#This Row],[M]]-TabCalc[[#This Row],[Y]])*(TabCalc[[#This Row],[M]]-TabCalc[[#This Row],[Y]])*(TabCalc[[#This Row],[M]]-TabCalc[[#This Row],[Y]])/(TabCalc[[#This Row],[Y]]*TabCalc[[#This Row],[M]]),"")</f>
        <v>-9.1391596591780914E-3</v>
      </c>
      <c r="AY50" s="82">
        <f t="shared" ca="1" si="5"/>
        <v>0</v>
      </c>
      <c r="AZ50" s="90">
        <f ca="1">_xlfn.XLOOKUP(TabCalc[[#This Row],[Ticker]],[1]!RTData[Ticker_Symbol],[1]!RTData[V/VA])</f>
        <v>0.76176321138211378</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0.76176321138211378</v>
      </c>
      <c r="BC50" s="87" cm="1">
        <f t="array" aca="1" ref="BC50" ca="1">INDEX(TabReg[], 1, _xlfn.XMATCH(TabCalc[[#This Row],[Ticker]]&amp;1, TabReg[#Headers], 0))</f>
        <v>20000</v>
      </c>
      <c r="BD50" s="159">
        <f ca="1">TabCalc[[#This Row],[Nbegin]]*TabCalc[[#This Row],[M]]*TabCalc[[#This Row],[Scale]]+TabCalc[[#This Row],[ValueBegin]]</f>
        <v>39963.709999999963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39963.709999999963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120504.30999999994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85.7</v>
      </c>
      <c r="BR50" s="174" t="str">
        <f ca="1">IF(TabCalc[[#This Row],[EfCost]]+TabCalc[[#This Row],[M_V]]&lt;TabCalc[[#This Row],[NoT_GL]],"Pile","")</f>
        <v/>
      </c>
      <c r="BS50" s="165">
        <f ca="1">_xlfn.XLOOKUP(TabCalc[[#This Row],[Ticker]],[1]!RTData[Ticker_Symbol],[1]!RTData[Last trade time])</f>
        <v>45968.798113425924</v>
      </c>
      <c r="BT50" s="175">
        <f ca="1">(TabCalc[[#This Row],[ValueBegin]]+(TabCalc[[#This Row],[M]]-TabCalc[[#This Row],[A]])*TabCalc[[#This Row],[NAfter]])*TabCalc[[#This Row],[Scale]]</f>
        <v>-1150358.5122222223</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-24322.222222222223</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1724.1379310344794</v>
      </c>
      <c r="CV50" s="404">
        <f ca="1">IF(TabCalc[[#This Row],[ntoBuy]]*TabCalc[[#This Row],[M]]&lt;=0,0,TabCalc[[#This Row],[ntoBuy]]*TabCalc[[#This Row],[M]])</f>
        <v>100517.24137931014</v>
      </c>
      <c r="CW50" s="404">
        <f ca="1">IF(TabCalc[[#This Row],[M]]&gt;ABS(TabCalc[[#This Row],[L_Bp]]),MIN(TabCalc[[#This Row],[NAfter]],DesiredSaleGain/(TabCalc[[#This Row],[M]]+TabCalc[[#This Row],[L_Bp]])),0)/TabCalc[[#This Row],[Scale]]</f>
        <v>0</v>
      </c>
      <c r="CX50" s="405">
        <f ca="1">TabCalc[[#This Row],[ntoSell]]*TabCalc[[#This Row],[M]]</f>
        <v>0</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-24322.222222222223</v>
      </c>
      <c r="DB50" s="90" t="str">
        <f ca="1">IFERROR((TabCalc[[#This Row],[M]]+TabCalc[[#This Row],[L_Bp]])/ABS(TabCalc[[#This Row],[L_Bp]])/(TODAY()-TabCalc[[#This Row],[L_Bdate]])*360,"")</f>
        <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1166000</v>
      </c>
      <c r="DF50" s="87" cm="1">
        <f t="array" aca="1" ref="DF50" ca="1">SUMPRODUCT(ISNUMBER(INDIRECT("TabReg["&amp;TabCalc[[#This Row],[Ticker]]&amp;"2]"))* INDIRECT("TabReg["&amp;TabCalc[[#This Row],[Ticker]]&amp;"1]") * INDIRECT("TabReg["&amp;TabCalc[[#This Row],[Ticker]]&amp;"2]") )*TabCalc[[#This Row],[Scale]]</f>
        <v>-1045495.6900000001</v>
      </c>
      <c r="DI50" s="87">
        <f ca="1"/>
        <v>123325</v>
      </c>
      <c r="DJ50" s="90">
        <f t="shared" ca="1" si="3"/>
        <v>0.45581284289276736</v>
      </c>
      <c r="DK50" t="str">
        <f ca="1">_xlfn.XLOOKUP(DI50,TabCalc[Column1],TabCalc[Ticker])</f>
        <v>DVA</v>
      </c>
      <c r="DL50" s="87">
        <f ca="1">_xlfn.XLOOKUP(DK50,TabCalc[Ticker],TabCalc[ValueBegin])</f>
        <v>-80200</v>
      </c>
      <c r="DM50" s="87">
        <f ca="1">_xlfn.XLOOKUP(DK50,TabCalc[Ticker],TabCalc[M_V])</f>
        <v>172655</v>
      </c>
      <c r="DN50" s="87">
        <f ca="1">_xlfn.XLOOKUP(DK50,TabCalc[Ticker],TabCalc[GL])</f>
        <v>36556.189999999944</v>
      </c>
      <c r="DO50" s="90"/>
      <c r="DP50" s="90"/>
      <c r="DQ50" s="88" t="s">
        <v>46</v>
      </c>
      <c r="DR50" s="81">
        <v>190</v>
      </c>
      <c r="DS50" s="315">
        <v>-109.65132</v>
      </c>
      <c r="DU50" s="82">
        <v>949152.6</v>
      </c>
      <c r="DV50" s="82">
        <f ca="1">DU50-TabCalc[[#This Row],[M_V]]</f>
        <v>-216847.40000000002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50375</v>
      </c>
      <c r="G51" s="82">
        <f ca="1">IFERROR(TabCalc[[#This Row],[SB]]-TabCalc[[#This Row],[SST]],TabCalc[[#This Row],[SB]])</f>
        <v>5000</v>
      </c>
      <c r="H51" s="532" t="str">
        <f ca="1">[1]!RTData[[#This Row],[Ticker_Symbol]]</f>
        <v>VTRS</v>
      </c>
      <c r="I51" s="383">
        <f ca="1">_xlfn.XLOOKUP(TabCalc[[#This Row],[Ticker]],[1]!RTData[Ticker_Symbol],[1]!RTData[M-Price])</f>
        <v>10.074999999999999</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-3.4620000000000002E-3</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0.22778145840059658</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3074.9999999999923</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9224.9999999999945</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-24.999999999995026</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2525.0000000000041</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25</v>
      </c>
      <c r="AQ51" s="334">
        <f ca="1">_xlfn.LET(_xlpm.MVToday,DataShift!AV551,         _xlpm.MVY,DataShift!AU551,        _xlpm.MVYY, DataShift!AT551,                                IF(_xlpm.MVToday=_xlpm.MVY,_xlpm.MVY-_xlpm.MVYY,_xlpm.MVToday-_xlpm.MVY))</f>
        <v>169.5</v>
      </c>
      <c r="AR51" s="334">
        <f ca="1">_xlfn.LET(_xlpm.MVToday,DataShift!AV551,         _xlpm.MVY,DataShift!AU551,        _xlpm.MVYY, DataShift!AT551,         _xlpm.MVYYY, DataShift!AS551,                      IF(_xlpm.MVToday=_xlpm.MVY,      _xlpm.MVYY-_xlpm.MVYYY,          _xlpm.MVY-_xlpm.MVYY))</f>
        <v>-661.80000000000291</v>
      </c>
      <c r="AS51" s="984">
        <f ca="1">TabCalc[[#This Row],[Y]]/TabCalc[[#This Row],[M]]</f>
        <v>1.1910669975186106</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-5.9001886889991792E-2</v>
      </c>
      <c r="AY51" s="82">
        <f t="shared" ca="1" si="5"/>
        <v>0</v>
      </c>
      <c r="AZ51" s="90">
        <f ca="1">_xlfn.XLOOKUP(TabCalc[[#This Row],[Ticker]],[1]!RTData[Ticker_Symbol],[1]!RTData[V/VA])</f>
        <v>1.133621174719351</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1.133621174719351</v>
      </c>
      <c r="BC51" s="87" cm="1">
        <f t="array" aca="1" ref="BC51" ca="1">INDEX(TabReg[], 1, _xlfn.XMATCH(TabCalc[[#This Row],[Ticker]]&amp;1, TabReg[#Headers], 0))</f>
        <v>5000</v>
      </c>
      <c r="BD51" s="159">
        <f ca="1">TabCalc[[#This Row],[Nbegin]]*TabCalc[[#This Row],[M]]*TabCalc[[#This Row],[Scale]]+TabCalc[[#This Row],[ValueBegin]]</f>
        <v>-101068.94999999998</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-101068.94999999998</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-82668.949999999953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45968.870779767967</v>
      </c>
      <c r="BT51" s="175">
        <f ca="1">(TabCalc[[#This Row],[ValueBegin]]+(TabCalc[[#This Row],[M]]-TabCalc[[#This Row],[A]])*TabCalc[[#This Row],[NAfter]])*TabCalc[[#This Row],[Scale]]</f>
        <v>-148368.94999999998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3074.9999999999923</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5000</v>
      </c>
      <c r="CX51" s="405">
        <f ca="1">TabCalc[[#This Row],[ntoSell]]*TabCalc[[#This Row],[M]]</f>
        <v>50375</v>
      </c>
      <c r="CY51" s="398">
        <f ca="1">_xlfn.LET(_xlpm.nToSell,IF(TabCalc[[#This Row],[M]]-TabCalc[[#This Row],[A]]&lt;=0,"",INT(DesiredSaleGain/(TabCalc[[#This Row],[M]]-IF(TabCalc[[#This Row],[E]]&gt;0,0,TabCalc[[#This Row],[A]])))),IF(_xlpm.nToSell&lt;=TabCalc[[#This Row],[NAfter]],_xlpm.nToSell,0))</f>
        <v>0</v>
      </c>
      <c r="CZ51" s="336">
        <f ca="1">IFERROR(TabCalc[[#This Row],[NMA]]*TabCalc[[#This Row],[M]],"")</f>
        <v>0</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3074.9999999999923</v>
      </c>
      <c r="DB51" s="90">
        <f ca="1">IFERROR((TabCalc[[#This Row],[M]]+TabCalc[[#This Row],[L_Bp]])/ABS(TabCalc[[#This Row],[L_Bp]])/(TODAY()-TabCalc[[#This Row],[L_Bdate]])*360,"")</f>
        <v>0.54427454643787654</v>
      </c>
      <c r="DC51" s="310">
        <f ca="1">MEDIAN(DataShift!F750:Z750)</f>
        <v>5.372E-3</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50375</v>
      </c>
      <c r="DF51" s="87" cm="1">
        <f t="array" aca="1" ref="DF51" ca="1">SUMPRODUCT(ISNUMBER(INDIRECT("TabReg["&amp;TabCalc[[#This Row],[Ticker]]&amp;"2]"))* INDIRECT("TabReg["&amp;TabCalc[[#This Row],[Ticker]]&amp;"1]") * INDIRECT("TabReg["&amp;TabCalc[[#This Row],[Ticker]]&amp;"2]") )*TabCalc[[#This Row],[Scale]]</f>
        <v>-133043.94999999995</v>
      </c>
      <c r="DI51" s="87">
        <f ca="1"/>
        <v>116303.6</v>
      </c>
      <c r="DJ51" s="90">
        <f t="shared" ca="1" si="3"/>
        <v>0.34087895537931667</v>
      </c>
      <c r="DK51" t="str">
        <f ca="1">_xlfn.XLOOKUP(DI51,TabCalc[Column1],TabCalc[Ticker])</f>
        <v>ENI</v>
      </c>
      <c r="DL51" s="87">
        <f ca="1">_xlfn.XLOOKUP(DK51,TabCalc[Ticker],TabCalc[ValueBegin])</f>
        <v>-99864</v>
      </c>
      <c r="DM51" s="87">
        <f ca="1">_xlfn.XLOOKUP(DK51,TabCalc[Ticker],TabCalc[M_V])</f>
        <v>270844</v>
      </c>
      <c r="DN51" s="87">
        <f ca="1">_xlfn.XLOOKUP(DK51,TabCalc[Ticker],TabCalc[GL])</f>
        <v>34041.53600000008</v>
      </c>
      <c r="DO51" s="90"/>
      <c r="DP51" s="90"/>
      <c r="DQ51" s="88" t="s">
        <v>47</v>
      </c>
      <c r="DR51" s="81">
        <v>10000</v>
      </c>
      <c r="DS51" s="315">
        <v>-19.13</v>
      </c>
      <c r="DU51" s="82">
        <v>52450</v>
      </c>
      <c r="DV51" s="82">
        <f ca="1">DU51-TabCalc[[#This Row],[M_V]]</f>
        <v>2075</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0.28915106485917103</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118400</v>
      </c>
      <c r="AR52" s="334">
        <f ca="1">_xlfn.LET(_xlpm.MVToday,DataShift!AV552,         _xlpm.MVY,DataShift!AU552,        _xlpm.MVYY, DataShift!AT552,         _xlpm.MVYYY, DataShift!AS552,                      IF(_xlpm.MVToday=_xlpm.MVY,      _xlpm.MVYY-_xlpm.MVYYY,          _xlpm.MVY-_xlpm.MVYY))</f>
        <v>102000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0.25077377748164403</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109070.5</v>
      </c>
      <c r="DJ52" s="90">
        <f t="shared" ca="1" si="3"/>
        <v>6.6998073696638405E-2</v>
      </c>
      <c r="DK52" t="str">
        <f ca="1">_xlfn.XLOOKUP(DI52,TabCalc[Column1],TabCalc[Ticker])</f>
        <v>ORA</v>
      </c>
      <c r="DL52" s="87">
        <f ca="1">_xlfn.XLOOKUP(DK52,TabCalc[Ticker],TabCalc[ValueBegin])</f>
        <v>-96558</v>
      </c>
      <c r="DM52" s="87">
        <f ca="1">_xlfn.XLOOKUP(DK52,TabCalc[Ticker],TabCalc[M_V])</f>
        <v>16998</v>
      </c>
      <c r="DN52" s="87">
        <f ca="1">_xlfn.XLOOKUP(DK52,TabCalc[Ticker],TabCalc[GL])</f>
        <v>6469.2000000000116</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58695</v>
      </c>
      <c r="G53" s="82">
        <f ca="1">IFERROR(TabCalc[[#This Row],[SB]]-TabCalc[[#This Row],[SST]],TabCalc[[#This Row],[SB]])</f>
        <v>500</v>
      </c>
      <c r="H53" s="532" t="str">
        <f ca="1">[1]!RTData[[#This Row],[Ticker_Symbol]]</f>
        <v>XOM</v>
      </c>
      <c r="I53" s="383">
        <f ca="1">_xlfn.XLOOKUP(TabCalc[[#This Row],[Ticker]],[1]!RTData[Ticker_Symbol],[1]!RTData[M-Price])</f>
        <v>117.39</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2.5239999999999999E-2</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-4.770127343933158E-2</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-29.999999999998295</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5649.9999999999982</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-18035.999999999993</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-5868.0000000000091</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1110</v>
      </c>
      <c r="AQ53" s="334">
        <f ca="1">_xlfn.LET(_xlpm.MVToday,DataShift!AV553,         _xlpm.MVY,DataShift!AU553,        _xlpm.MVYY, DataShift!AT553,                                IF(_xlpm.MVToday=_xlpm.MVY,_xlpm.MVY-_xlpm.MVYY,_xlpm.MVToday-_xlpm.MVY))</f>
        <v>-600</v>
      </c>
      <c r="AR53" s="334">
        <f ca="1">_xlfn.LET(_xlpm.MVToday,DataShift!AV553,         _xlpm.MVY,DataShift!AU553,        _xlpm.MVYY, DataShift!AT553,         _xlpm.MVYYY, DataShift!AS553,                      IF(_xlpm.MVToday=_xlpm.MVY,      _xlpm.MVYY-_xlpm.MVYYY,          _xlpm.MVY-_xlpm.MVYY))</f>
        <v>-2775</v>
      </c>
      <c r="AS53" s="984">
        <f ca="1">TabCalc[[#This Row],[Y]]/TabCalc[[#This Row],[M]]</f>
        <v>1.0808416389811739</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-5.7381826062487429E-2</v>
      </c>
      <c r="AY53" s="82">
        <f t="shared" ca="1" si="5"/>
        <v>0</v>
      </c>
      <c r="AZ53" s="90">
        <f ca="1">_xlfn.XLOOKUP(TabCalc[[#This Row],[Ticker]],[1]!RTData[Ticker_Symbol],[1]!RTData[V/VA])</f>
        <v>0.81372672061593609</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0.81372672061593609</v>
      </c>
      <c r="BC53" s="87" cm="1">
        <f t="array" aca="1" ref="BC53" ca="1">INDEX(TabReg[], 1, _xlfn.XMATCH(TabCalc[[#This Row],[Ticker]]&amp;1, TabReg[#Headers], 0))</f>
        <v>200</v>
      </c>
      <c r="BD53" s="159">
        <f ca="1">TabCalc[[#This Row],[Nbegin]]*TabCalc[[#This Row],[M]]*TabCalc[[#This Row],[Scale]]+TabCalc[[#This Row],[ValueBegin]]</f>
        <v>3576</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38793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10424.100000000006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45968.870802522659</v>
      </c>
      <c r="BT53" s="175">
        <f ca="1">(TabCalc[[#This Row],[ValueBegin]]+(TabCalc[[#This Row],[M]]-TabCalc[[#This Row],[A]])*TabCalc[[#This Row],[NAfter]])*TabCalc[[#This Row],[Scale]]</f>
        <v>-17672.000000000004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2229.9999999999968</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2229.9999999999968</v>
      </c>
      <c r="DB53" s="90">
        <f ca="1">IFERROR((TabCalc[[#This Row],[M]]+TabCalc[[#This Row],[L_Bp]])/ABS(TabCalc[[#This Row],[L_Bp]])/(TODAY()-TabCalc[[#This Row],[L_Bdate]])*360,"")</f>
        <v>-7.2954537164252996E-3</v>
      </c>
      <c r="DC53" s="310">
        <f ca="1">MEDIAN(DataShift!F752:Z752)</f>
        <v>3.8800000000000002E-3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23478</v>
      </c>
      <c r="DF53" s="87" cm="1">
        <f t="array" aca="1" ref="DF53" ca="1">SUMPRODUCT(ISNUMBER(INDIRECT("TabReg["&amp;TabCalc[[#This Row],[Ticker]]&amp;"2]"))* INDIRECT("TabReg["&amp;TabCalc[[#This Row],[Ticker]]&amp;"1]") * INDIRECT("TabReg["&amp;TabCalc[[#This Row],[Ticker]]&amp;"2]") )*TabCalc[[#This Row],[Scale]]</f>
        <v>-48270.899999999994</v>
      </c>
      <c r="DI53" s="87">
        <f ca="1"/>
        <v>104159.70000000001</v>
      </c>
      <c r="DJ53" s="90">
        <f t="shared" ca="1" si="3"/>
        <v>0.82455283149171266</v>
      </c>
      <c r="DK53" t="str">
        <f ca="1">_xlfn.XLOOKUP(DI53,TabCalc[Column1],TabCalc[Ticker])</f>
        <v>PAAS</v>
      </c>
      <c r="DL53" s="87">
        <f ca="1">_xlfn.XLOOKUP(DK53,TabCalc[Ticker],TabCalc[ValueBegin])</f>
        <v>-86880</v>
      </c>
      <c r="DM53" s="87">
        <f ca="1">_xlfn.XLOOKUP(DK53,TabCalc[Ticker],TabCalc[M_V])</f>
        <v>138879.6</v>
      </c>
      <c r="DN53" s="87">
        <f ca="1">_xlfn.XLOOKUP(DK53,TabCalc[Ticker],TabCalc[GL])</f>
        <v>71637.149999999994</v>
      </c>
      <c r="DO53" s="90"/>
      <c r="DP53" s="90"/>
      <c r="DQ53" s="88" t="s">
        <v>49</v>
      </c>
      <c r="DR53" s="81">
        <v>5000</v>
      </c>
      <c r="DS53" s="315">
        <v>-30.288789999999999</v>
      </c>
      <c r="DU53" s="82">
        <v>57095</v>
      </c>
      <c r="DV53" s="82">
        <f ca="1">DU53-TabCalc[[#This Row],[M_V]]</f>
        <v>-1600</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65985</v>
      </c>
      <c r="G54" s="82">
        <f ca="1">IFERROR(TabCalc[[#This Row],[SB]]-TabCalc[[#This Row],[SST]],TabCalc[[#This Row],[SB]])</f>
        <v>10000</v>
      </c>
      <c r="H54" s="532" t="str">
        <f ca="1">[1]!RTData[[#This Row],[Ticker_Symbol]]</f>
        <v>XPER</v>
      </c>
      <c r="I54" s="383">
        <f ca="1">_xlfn.XLOOKUP(TabCalc[[#This Row],[Ticker]],[1]!RTData[Ticker_Symbol],[1]!RTData[M-Price])</f>
        <v>6.5984999999999996</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-3.952E-2</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-307.50000000000279</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-13782.300000000005</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28450.800000000007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6094.5000000000036</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-765</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1.7276653784951126</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-1.4715693280021782</v>
      </c>
      <c r="AY54" s="82">
        <f t="shared" ca="1" si="5"/>
        <v>0</v>
      </c>
      <c r="AZ54" s="90">
        <f ca="1">_xlfn.XLOOKUP(TabCalc[[#This Row],[Ticker]],[1]!RTData[Ticker_Symbol],[1]!RTData[V/VA])</f>
        <v>0.78591379491869373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0.78591379491869373</v>
      </c>
      <c r="BC54" s="87" cm="1">
        <f t="array" aca="1" ref="BC54" ca="1">INDEX(TabReg[], 1, _xlfn.XMATCH(TabCalc[[#This Row],[Ticker]]&amp;1, TabReg[#Headers], 0))</f>
        <v>800</v>
      </c>
      <c r="BD54" s="159">
        <f ca="1">TabCalc[[#This Row],[Nbegin]]*TabCalc[[#This Row],[M]]*TabCalc[[#This Row],[Scale]]+TabCalc[[#This Row],[ValueBegin]]</f>
        <v>-50087.429999999993</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10618.770000000004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-56505.62999999999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17.01</v>
      </c>
      <c r="BR54" s="174" t="str">
        <f ca="1">IF(TabCalc[[#This Row],[EfCost]]+TabCalc[[#This Row],[M_V]]&lt;TabCalc[[#This Row],[NoT_GL]],"Pile","")</f>
        <v>Pile</v>
      </c>
      <c r="BS54" s="165">
        <f ca="1">_xlfn.XLOOKUP(TabCalc[[#This Row],[Ticker]],[1]!RTData[Ticker_Symbol],[1]!RTData[Last trade time])</f>
        <v>45968.87075591406</v>
      </c>
      <c r="BT54" s="175">
        <f ca="1">(TabCalc[[#This Row],[ValueBegin]]+(TabCalc[[#This Row],[M]]-TabCalc[[#This Row],[A]])*TabCalc[[#This Row],[NAfter]])*TabCalc[[#This Row],[Scale]]</f>
        <v>-72049.23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-16683.000000000004</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1265.3422750854102</v>
      </c>
      <c r="CV54" s="404">
        <f ca="1">IF(TabCalc[[#This Row],[ntoBuy]]*TabCalc[[#This Row],[M]]&lt;=0,0,TabCalc[[#This Row],[ntoBuy]]*TabCalc[[#This Row],[M]])</f>
        <v>8349.3610021510776</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-16683.000000000004</v>
      </c>
      <c r="DB54" s="90">
        <f ca="1">IFERROR((TabCalc[[#This Row],[M]]+TabCalc[[#This Row],[L_Bp]])/ABS(TabCalc[[#This Row],[L_Bp]])/(TODAY()-TabCalc[[#This Row],[L_Bdate]])*360,"")</f>
        <v>-0.11463187325256392</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5278.7999999999993</v>
      </c>
      <c r="DF54" s="87" cm="1">
        <f t="array" aca="1" ref="DF54" ca="1">SUMPRODUCT(ISNUMBER(INDIRECT("TabReg["&amp;TabCalc[[#This Row],[Ticker]]&amp;"2]"))* INDIRECT("TabReg["&amp;TabCalc[[#This Row],[Ticker]]&amp;"1]") * INDIRECT("TabReg["&amp;TabCalc[[#This Row],[Ticker]]&amp;"2]") )*TabCalc[[#This Row],[Scale]]</f>
        <v>-122490.62999999999</v>
      </c>
      <c r="DI54" s="87">
        <f ca="1"/>
        <v>103404.5</v>
      </c>
      <c r="DJ54" s="90">
        <f t="shared" ca="1" si="3"/>
        <v>1.2968737297264334</v>
      </c>
      <c r="DK54" t="str">
        <f ca="1">_xlfn.XLOOKUP(DI54,TabCalc[Column1],TabCalc[Ticker])</f>
        <v>MVEORA</v>
      </c>
      <c r="DL54" s="87">
        <f ca="1">_xlfn.XLOOKUP(DK54,TabCalc[Ticker],TabCalc[ValueBegin])</f>
        <v>-78723.200000000012</v>
      </c>
      <c r="DM54" s="87">
        <f ca="1">_xlfn.XLOOKUP(DK54,TabCalc[Ticker],TabCalc[M_V])</f>
        <v>280467</v>
      </c>
      <c r="DN54" s="87">
        <f ca="1">_xlfn.XLOOKUP(DK54,TabCalc[Ticker],TabCalc[GL])</f>
        <v>102094.04999999999</v>
      </c>
      <c r="DO54" s="90"/>
      <c r="DP54" s="90"/>
      <c r="DQ54" s="88" t="s">
        <v>50</v>
      </c>
      <c r="DR54" s="81">
        <v>750</v>
      </c>
      <c r="DS54" s="315">
        <v>-49.343906666666669</v>
      </c>
      <c r="DU54" s="82">
        <v>63700</v>
      </c>
      <c r="DV54" s="82">
        <f ca="1">DU54-TabCalc[[#This Row],[M_V]]</f>
        <v>-2285</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393900</v>
      </c>
      <c r="G55" s="82">
        <f ca="1">IFERROR(TabCalc[[#This Row],[SB]]-TabCalc[[#This Row],[SST]],TabCalc[[#This Row],[SB]])</f>
        <v>505000</v>
      </c>
      <c r="H55" s="532" t="str">
        <f ca="1">[1]!RTData[[#This Row],[Ticker_Symbol]]</f>
        <v>MVEALDNE</v>
      </c>
      <c r="I55" s="383">
        <f ca="1">_xlfn.XLOOKUP(TabCalc[[#This Row],[Ticker]],[1]!RTData[Ticker_Symbol],[1]!RTData[M-Price])</f>
        <v>0.78</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-2.5580000000000004E-3</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-0.40311717791145629</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-3565.7300000000005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-4600</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0</v>
      </c>
      <c r="AQ55" s="334">
        <f ca="1">_xlfn.LET(_xlpm.MVToday,DataShift!AV555,         _xlpm.MVY,DataShift!AU555,        _xlpm.MVYY, DataShift!AT555,                                IF(_xlpm.MVToday=_xlpm.MVY,_xlpm.MVY-_xlpm.MVYY,_xlpm.MVToday-_xlpm.MVY))</f>
        <v>1250</v>
      </c>
      <c r="AR55" s="334">
        <f ca="1">_xlfn.LET(_xlpm.MVToday,DataShift!AV555,         _xlpm.MVY,DataShift!AU555,        _xlpm.MVYY, DataShift!AT555,         _xlpm.MVYYY, DataShift!AS555,                      IF(_xlpm.MVToday=_xlpm.MVY,      _xlpm.MVYY-_xlpm.MVYYY,          _xlpm.MVY-_xlpm.MVYY))</f>
        <v>590</v>
      </c>
      <c r="AS55" s="984">
        <f ca="1">TabCalc[[#This Row],[Y]]/TabCalc[[#This Row],[M]]</f>
        <v>1.9658076923076924</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-0.3574584375777381</v>
      </c>
      <c r="AY55" s="82">
        <f t="shared" ca="1" si="5"/>
        <v>0</v>
      </c>
      <c r="AZ55" s="90">
        <f ca="1">_xlfn.XLOOKUP(TabCalc[[#This Row],[Ticker]],[1]!RTData[Ticker_Symbol],[1]!RTData[V/VA])</f>
        <v>0.32673879443585779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0.32673879443585779</v>
      </c>
      <c r="BC55" s="87" cm="1">
        <f t="array" aca="1" ref="BC55" ca="1">INDEX(TabReg[], 1, _xlfn.XMATCH(TabCalc[[#This Row],[Ticker]]&amp;1, TabReg[#Headers], 0))</f>
        <v>395031</v>
      </c>
      <c r="BD55" s="159">
        <f ca="1">TabCalc[[#This Row],[Nbegin]]*TabCalc[[#This Row],[M]]*TabCalc[[#This Row],[Scale]]+TabCalc[[#This Row],[ValueBegin]]</f>
        <v>-154062.08999999997</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-68286.26999999996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-244524.797074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45968.708333333336</v>
      </c>
      <c r="BT55" s="175">
        <f ca="1">(TabCalc[[#This Row],[ValueBegin]]+(TabCalc[[#This Row],[M]]-TabCalc[[#This Row],[A]])*TabCalc[[#This Row],[NAfter]])*TabCalc[[#This Row],[Scale]]</f>
        <v>-706711.0670739999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-244524.797074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-244524.797074</v>
      </c>
      <c r="DB55" s="90">
        <f ca="1">IFERROR((TabCalc[[#This Row],[M]]+TabCalc[[#This Row],[L_Bp]])/ABS(TabCalc[[#This Row],[L_Bp]])/(TODAY()-TabCalc[[#This Row],[L_Bdate]])*360,"")</f>
        <v>-0.63185834377789629</v>
      </c>
      <c r="DC55" s="310">
        <f ca="1">MEDIAN(DataShift!F754:Z754)</f>
        <v>2.9449999999999997E-3</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308124.18</v>
      </c>
      <c r="DF55" s="87" cm="1">
        <f t="array" aca="1" ref="DF55" ca="1">SUMPRODUCT(ISNUMBER(INDIRECT("TabReg["&amp;TabCalc[[#This Row],[Ticker]]&amp;"2]"))* INDIRECT("TabReg["&amp;TabCalc[[#This Row],[Ticker]]&amp;"1]") * INDIRECT("TabReg["&amp;TabCalc[[#This Row],[Ticker]]&amp;"2]") )*TabCalc[[#This Row],[Scale]]</f>
        <v>-638424.797074</v>
      </c>
      <c r="DI55" s="87">
        <f ca="1"/>
        <v>101061</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4040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22250</v>
      </c>
      <c r="G56" s="82">
        <f ca="1">IFERROR(TabCalc[[#This Row],[SB]]-TabCalc[[#This Row],[SST]],TabCalc[[#This Row],[SB]])</f>
        <v>10000</v>
      </c>
      <c r="H56" s="532" t="str">
        <f ca="1">[1]!RTData[[#This Row],[Ticker_Symbol]]</f>
        <v>MVEDDD</v>
      </c>
      <c r="I56" s="383">
        <f ca="1">_xlfn.XLOOKUP(TabCalc[[#This Row],[Ticker]],[1]!RTData[Ticker_Symbol],[1]!RTData[M-Price])</f>
        <v>2.2250000000000001</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-1.1110999999999999E-2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-7.7551727696154232E-2</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-2250.0000000000009</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-4920.0849999999982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6475</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8675.5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49.999999999996362</v>
      </c>
      <c r="AQ56" s="334">
        <f ca="1">_xlfn.LET(_xlpm.MVToday,DataShift!AV556,         _xlpm.MVY,DataShift!AU556,        _xlpm.MVYY, DataShift!AT556,                                IF(_xlpm.MVToday=_xlpm.MVY,_xlpm.MVY-_xlpm.MVYY,_xlpm.MVToday-_xlpm.MVY))</f>
        <v>-2915</v>
      </c>
      <c r="AR56" s="334">
        <f ca="1">_xlfn.LET(_xlpm.MVToday,DataShift!AV556,         _xlpm.MVY,DataShift!AU556,        _xlpm.MVYY, DataShift!AT556,         _xlpm.MVYYY, DataShift!AS556,                      IF(_xlpm.MVToday=_xlpm.MVY,      _xlpm.MVYY-_xlpm.MVYYY,          _xlpm.MVY-_xlpm.MVYY))</f>
        <v>1500</v>
      </c>
      <c r="AS56" s="984">
        <f ca="1">TabCalc[[#This Row],[Y]]/TabCalc[[#This Row],[M]]</f>
        <v>1.4606741573033708</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-0.14892178046672427</v>
      </c>
      <c r="AY56" s="82">
        <f t="shared" ca="1" si="5"/>
        <v>0</v>
      </c>
      <c r="AZ56" s="90">
        <f ca="1">_xlfn.XLOOKUP(TabCalc[[#This Row],[Ticker]],[1]!RTData[Ticker_Symbol],[1]!RTData[V/VA])</f>
        <v>0.54788075577674089</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0.54788075577674089</v>
      </c>
      <c r="BC56" s="87" cm="1">
        <f t="array" aca="1" ref="BC56" ca="1">INDEX(TabReg[], 1, _xlfn.XMATCH(TabCalc[[#This Row],[Ticker]]&amp;1, TabReg[#Headers], 0))</f>
        <v>10000</v>
      </c>
      <c r="BD56" s="159">
        <f ca="1">TabCalc[[#This Row],[Nbegin]]*TabCalc[[#This Row],[M]]*TabCalc[[#This Row],[Scale]]+TabCalc[[#This Row],[ValueBegin]]</f>
        <v>-21050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-21050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9260.4149999999972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v>
      </c>
      <c r="BR56" s="174" t="str">
        <f ca="1">IF(TabCalc[[#This Row],[EfCost]]+TabCalc[[#This Row],[M_V]]&lt;TabCalc[[#This Row],[NoT_GL]],"Pile","")</f>
        <v/>
      </c>
      <c r="BS56" s="165">
        <f ca="1">_xlfn.XLOOKUP(TabCalc[[#This Row],[Ticker]],[1]!RTData[Ticker_Symbol],[1]!RTData[Last trade time])</f>
        <v>45968.870802858597</v>
      </c>
      <c r="BT56" s="175">
        <f ca="1">(TabCalc[[#This Row],[ValueBegin]]+(TabCalc[[#This Row],[M]]-TabCalc[[#This Row],[A]])*TabCalc[[#This Row],[NAfter]])*TabCalc[[#This Row],[Scale]]</f>
        <v>-45550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-2250.0000000000009</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3861.0038610038614</v>
      </c>
      <c r="CV56" s="404">
        <f ca="1">IF(TabCalc[[#This Row],[ntoBuy]]*TabCalc[[#This Row],[M]]&lt;=0,0,TabCalc[[#This Row],[ntoBuy]]*TabCalc[[#This Row],[M]])</f>
        <v>8590.7335907335928</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-2250.0000000000009</v>
      </c>
      <c r="DB56" s="90">
        <f ca="1">IFERROR((TabCalc[[#This Row],[M]]+TabCalc[[#This Row],[L_Bp]])/ABS(TabCalc[[#This Row],[L_Bp]])/(TODAY()-TabCalc[[#This Row],[L_Bdate]])*360,"")</f>
        <v>-7.8717201166180792E-2</v>
      </c>
      <c r="DC56" s="310">
        <f ca="1">MEDIAN(DataShift!F755:Z755)</f>
        <v>8.9569999999999997E-3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22250</v>
      </c>
      <c r="DF56" s="87" cm="1">
        <f t="array" aca="1" ref="DF56" ca="1">SUMPRODUCT(ISNUMBER(INDIRECT("TabReg["&amp;TabCalc[[#This Row],[Ticker]]&amp;"2]"))* INDIRECT("TabReg["&amp;TabCalc[[#This Row],[Ticker]]&amp;"1]") * INDIRECT("TabReg["&amp;TabCalc[[#This Row],[Ticker]]&amp;"2]") )*TabCalc[[#This Row],[Scale]]</f>
        <v>-12989.585000000003</v>
      </c>
      <c r="DI56" s="87">
        <f ca="1"/>
        <v>95337</v>
      </c>
      <c r="DJ56" s="90">
        <f t="shared" ca="1" si="3"/>
        <v>1.4583900636305571</v>
      </c>
      <c r="DK56" t="str">
        <f ca="1">_xlfn.XLOOKUP(DI56,TabCalc[Column1],TabCalc[Ticker])</f>
        <v>RIGL</v>
      </c>
      <c r="DL56" s="87">
        <f ca="1">_xlfn.XLOOKUP(DK56,TabCalc[Ticker],TabCalc[ValueBegin])</f>
        <v>-99689.529999999868</v>
      </c>
      <c r="DM56" s="87">
        <f ca="1">_xlfn.XLOOKUP(DK56,TabCalc[Ticker],TabCalc[M_V])</f>
        <v>35310</v>
      </c>
      <c r="DN56" s="87">
        <f ca="1">_xlfn.XLOOKUP(DK56,TabCalc[Ticker],TabCalc[GL])</f>
        <v>145386.22000000015</v>
      </c>
      <c r="DO56" s="90"/>
      <c r="DP56" s="90"/>
      <c r="DQ56" s="88" t="s">
        <v>52</v>
      </c>
      <c r="DR56" s="81">
        <v>800</v>
      </c>
      <c r="DS56" s="315">
        <v>-69.207787499999995</v>
      </c>
      <c r="DU56" s="82">
        <v>26250</v>
      </c>
      <c r="DV56" s="82">
        <f ca="1">DU56-TabCalc[[#This Row],[M_V]]</f>
        <v>4000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280080</v>
      </c>
      <c r="G57" s="82">
        <f ca="1">IFERROR(TabCalc[[#This Row],[SB]]-TabCalc[[#This Row],[SST]],TabCalc[[#This Row],[SB]])</f>
        <v>12000</v>
      </c>
      <c r="H57" s="532" t="str">
        <f ca="1">[1]!RTData[[#This Row],[Ticker_Symbol]]</f>
        <v>MVEDSY</v>
      </c>
      <c r="I57" s="383">
        <f ca="1">_xlfn.XLOOKUP(TabCalc[[#This Row],[Ticker]],[1]!RTData[Ticker_Symbol],[1]!RTData[M-Price])</f>
        <v>23.34</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3.4389999999999998E-3</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0.17766317373731222</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2,473 = $ 57,719</v>
      </c>
      <c r="Z57" s="211">
        <f ca="1">MIN(TabCalc[[#This Row],[L_Bn]],TabCalc[[#This Row],[NAfter]])*(TabCalc[[#This Row],[M]]+TabCalc[[#This Row],[L_Bp]])*TabCalc[[#This Row],[Scale]]</f>
        <v>-10319.999999999998</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-4010</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16669.999999999996</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17255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0</v>
      </c>
      <c r="AQ57" s="334">
        <f ca="1">_xlfn.LET(_xlpm.MVToday,DataShift!AV557,         _xlpm.MVY,DataShift!AU557,        _xlpm.MVYY, DataShift!AT557,                                IF(_xlpm.MVToday=_xlpm.MVY,_xlpm.MVY-_xlpm.MVYY,_xlpm.MVToday-_xlpm.MVY))</f>
        <v>-1010</v>
      </c>
      <c r="AR57" s="334">
        <f ca="1">_xlfn.LET(_xlpm.MVToday,DataShift!AV557,         _xlpm.MVY,DataShift!AU557,        _xlpm.MVYY, DataShift!AT557,         _xlpm.MVYYY, DataShift!AS557,                      IF(_xlpm.MVToday=_xlpm.MVY,      _xlpm.MVYY-_xlpm.MVYYY,          _xlpm.MVY-_xlpm.MVYY))</f>
        <v>-4040</v>
      </c>
      <c r="AS57" s="984">
        <f ca="1">TabCalc[[#This Row],[Y]]/TabCalc[[#This Row],[M]]</f>
        <v>1.3658003427592118</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-0.83646150421113186</v>
      </c>
      <c r="AY57" s="82">
        <f t="shared" ca="1" si="5"/>
        <v>0</v>
      </c>
      <c r="AZ57" s="90">
        <f ca="1">_xlfn.XLOOKUP(TabCalc[[#This Row],[Ticker]],[1]!RTData[Ticker_Symbol],[1]!RTData[V/VA])</f>
        <v>0.97018179551316519</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0.97018179551316519</v>
      </c>
      <c r="BC57" s="87" cm="1">
        <f t="array" aca="1" ref="BC57" ca="1">INDEX(TabReg[], 1, _xlfn.XMATCH(TabCalc[[#This Row],[Ticker]]&amp;1, TabReg[#Headers], 0))</f>
        <v>2000</v>
      </c>
      <c r="BD57" s="159">
        <f ca="1">TabCalc[[#This Row],[Nbegin]]*TabCalc[[#This Row],[M]]*TabCalc[[#This Row],[Scale]]+TabCalc[[#This Row],[ValueBegin]]</f>
        <v>-41320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192080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-119467.39600000001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44.82</v>
      </c>
      <c r="BR57" s="174" t="str">
        <f ca="1">IF(TabCalc[[#This Row],[EfCost]]+TabCalc[[#This Row],[M_V]]&lt;TabCalc[[#This Row],[NoT_GL]],"Pile","")</f>
        <v>Pile</v>
      </c>
      <c r="BS57" s="165">
        <f ca="1">_xlfn.XLOOKUP(TabCalc[[#This Row],[Ticker]],[1]!RTData[Ticker_Symbol],[1]!RTData[Last trade time])</f>
        <v>45968.708333333336</v>
      </c>
      <c r="BT57" s="175">
        <f ca="1">(TabCalc[[#This Row],[ValueBegin]]+(TabCalc[[#This Row],[M]]-TabCalc[[#This Row],[A]])*TabCalc[[#This Row],[NAfter]])*TabCalc[[#This Row],[Scale]]</f>
        <v>-211570.00000000003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-123570.00000000003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299.94001199760049</v>
      </c>
      <c r="CV57" s="404">
        <f ca="1">IF(TabCalc[[#This Row],[ntoBuy]]*TabCalc[[#This Row],[M]]&lt;=0,0,TabCalc[[#This Row],[ntoBuy]]*TabCalc[[#This Row],[M]])</f>
        <v>7000.5998800239959</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-123570.00000000003</v>
      </c>
      <c r="DB57" s="90">
        <f ca="1">IFERROR((TabCalc[[#This Row],[M]]+TabCalc[[#This Row],[L_Bp]])/ABS(TabCalc[[#This Row],[L_Bp]])/(TODAY()-TabCalc[[#This Row],[L_Bdate]])*360,"")</f>
        <v>-0.61163408635182781</v>
      </c>
      <c r="DC57" s="310">
        <f ca="1">MEDIAN(DataShift!F756:Z756)</f>
        <v>0</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46680</v>
      </c>
      <c r="DF57" s="87" cm="1">
        <f t="array" aca="1" ref="DF57" ca="1">SUMPRODUCT(ISNUMBER(INDIRECT("TabReg["&amp;TabCalc[[#This Row],[Ticker]]&amp;"2]"))* INDIRECT("TabReg["&amp;TabCalc[[#This Row],[Ticker]]&amp;"1]") * INDIRECT("TabReg["&amp;TabCalc[[#This Row],[Ticker]]&amp;"2]") )*TabCalc[[#This Row],[Scale]]</f>
        <v>-399547.39600000001</v>
      </c>
      <c r="DI57" s="87">
        <f ca="1"/>
        <v>91640.16</v>
      </c>
      <c r="DJ57" s="90">
        <f t="shared" ca="1" si="3"/>
        <v>0.33560957291491195</v>
      </c>
      <c r="DK57" t="str">
        <f ca="1">_xlfn.XLOOKUP(DI57,TabCalc[Column1],TabCalc[Ticker])</f>
        <v>EZJ</v>
      </c>
      <c r="DL57" s="87">
        <f ca="1">_xlfn.XLOOKUP(DK57,TabCalc[Ticker],TabCalc[ValueBegin])</f>
        <v>-99727.2</v>
      </c>
      <c r="DM57" s="87">
        <f ca="1">_xlfn.XLOOKUP(DK57,TabCalc[Ticker],TabCalc[M_V])</f>
        <v>141420</v>
      </c>
      <c r="DN57" s="87">
        <f ca="1">_xlfn.XLOOKUP(DK57,TabCalc[Ticker],TabCalc[GL])</f>
        <v>33469.403000000006</v>
      </c>
      <c r="DO57" s="90"/>
      <c r="DP57" s="90"/>
      <c r="DQ57" s="88" t="s">
        <v>53</v>
      </c>
      <c r="DR57" s="81">
        <v>30000</v>
      </c>
      <c r="DS57" s="315">
        <v>-1.19</v>
      </c>
      <c r="DU57" s="82">
        <v>288480</v>
      </c>
      <c r="DV57" s="82">
        <f ca="1">DU57-TabCalc[[#This Row],[M_V]]</f>
        <v>8400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161.05000000000001</v>
      </c>
      <c r="G58" s="82">
        <f ca="1">IFERROR(TabCalc[[#This Row],[SB]]-TabCalc[[#This Row],[SST]],TabCalc[[#This Row],[SB]])</f>
        <v>10</v>
      </c>
      <c r="H58" s="532" t="str">
        <f ca="1">[1]!RTData[[#This Row],[Ticker_Symbol]]</f>
        <v>MVEEOAN</v>
      </c>
      <c r="I58" s="383">
        <f ca="1">_xlfn.XLOOKUP(TabCalc[[#This Row],[Ticker]],[1]!RTData[Ticker_Symbol],[1]!RTData[M-Price])</f>
        <v>16.105</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1.555E-3</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0.31843348095584589</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50.45</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54.400000000000013</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-10599.55</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-13361.07</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v>
      </c>
      <c r="AQ58" s="334">
        <f ca="1">_xlfn.LET(_xlpm.MVToday,DataShift!AV558,         _xlpm.MVY,DataShift!AU558,        _xlpm.MVYY, DataShift!AT558,                                IF(_xlpm.MVToday=_xlpm.MVY,_xlpm.MVY-_xlpm.MVYY,_xlpm.MVToday-_xlpm.MVY))</f>
        <v>-400</v>
      </c>
      <c r="AR58" s="334">
        <f ca="1">_xlfn.LET(_xlpm.MVToday,DataShift!AV558,         _xlpm.MVY,DataShift!AU558,        _xlpm.MVYY, DataShift!AT558,         _xlpm.MVYYY, DataShift!AS558,                      IF(_xlpm.MVToday=_xlpm.MVY,      _xlpm.MVYY-_xlpm.MVYYY,          _xlpm.MVY-_xlpm.MVYY))</f>
        <v>-3350</v>
      </c>
      <c r="AS58" s="984">
        <f ca="1">TabCalc[[#This Row],[Y]]/TabCalc[[#This Row],[M]]</f>
        <v>1.0505799441167338</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-1.9836573644380793E-3</v>
      </c>
      <c r="AY58" s="82">
        <f t="shared" ca="1" si="5"/>
        <v>19990</v>
      </c>
      <c r="AZ58" s="90">
        <f ca="1">_xlfn.XLOOKUP(TabCalc[[#This Row],[Ticker]],[1]!RTData[Ticker_Symbol],[1]!RTData[V/VA])</f>
        <v>1.3773604663339033E-3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1.3773604663339033E-3</v>
      </c>
      <c r="BC58" s="87" cm="1">
        <f t="array" aca="1" ref="BC58" ca="1">INDEX(TabReg[], 1, _xlfn.XMATCH(TabCalc[[#This Row],[Ticker]]&amp;1, TabReg[#Headers], 0))</f>
        <v>20000</v>
      </c>
      <c r="BD58" s="159">
        <f ca="1">TabCalc[[#This Row],[Nbegin]]*TabCalc[[#This Row],[M]]*TabCalc[[#This Row],[Scale]]+TabCalc[[#This Row],[ValueBegin]]</f>
        <v>100894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-221044.95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18120.935000000016</v>
      </c>
      <c r="BM58" s="159">
        <f ca="1">IF(        OR( TabCalc[[#This Row],[GL]]&gt;ABS(TabCalc[[#This Row],[EfCost]]),TabCalc[[#This Row],[NAfter]]=0),             TabCalc[[#This Row],[GL]],     0)</f>
        <v>18120.935000000016</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45968.857638888891</v>
      </c>
      <c r="BT58" s="175">
        <f ca="1">(TabCalc[[#This Row],[ValueBegin]]+(TabCalc[[#This Row],[M]]-TabCalc[[#This Row],[A]])*TabCalc[[#This Row],[NAfter]])*TabCalc[[#This Row],[Scale]]</f>
        <v>-221155.55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50.45</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161.05000000000001</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50.45</v>
      </c>
      <c r="DB58" s="90">
        <f ca="1">IFERROR((TabCalc[[#This Row],[M]]+TabCalc[[#This Row],[L_Bp]])/ABS(TabCalc[[#This Row],[L_Bp]])/(TODAY()-TabCalc[[#This Row],[L_Bdate]])*360,"")</f>
        <v>0.56625303984535758</v>
      </c>
      <c r="DC58" s="310">
        <f ca="1">MEDIAN(DataShift!F757:Z757)</f>
        <v>-1.1110999999999999E-2</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322100</v>
      </c>
      <c r="DF58" s="87" cm="1">
        <f t="array" aca="1" ref="DF58" ca="1">SUMPRODUCT(ISNUMBER(INDIRECT("TabReg["&amp;TabCalc[[#This Row],[Ticker]]&amp;"2]"))* INDIRECT("TabReg["&amp;TabCalc[[#This Row],[Ticker]]&amp;"1]") * INDIRECT("TabReg["&amp;TabCalc[[#This Row],[Ticker]]&amp;"2]") )*TabCalc[[#This Row],[Scale]]</f>
        <v>17959.885000000017</v>
      </c>
      <c r="DI58" s="87">
        <f ca="1"/>
        <v>91500</v>
      </c>
      <c r="DJ58" s="90">
        <f t="shared" ca="1" si="3"/>
        <v>-4.7694962885154064</v>
      </c>
      <c r="DK58" t="str">
        <f ca="1">_xlfn.XLOOKUP(DI58,TabCalc[Column1],TabCalc[Ticker])</f>
        <v>NOTE</v>
      </c>
      <c r="DL58" s="87">
        <f ca="1">_xlfn.XLOOKUP(DK58,TabCalc[Ticker],TabCalc[ValueBegin])</f>
        <v>-35700</v>
      </c>
      <c r="DM58" s="87">
        <f ca="1">_xlfn.XLOOKUP(DK58,TabCalc[Ticker],TabCalc[M_V])</f>
        <v>81334.349999999991</v>
      </c>
      <c r="DN58" s="87">
        <f ca="1">_xlfn.XLOOKUP(DK58,TabCalc[Ticker],TabCalc[GL])</f>
        <v>-170271.01750000002</v>
      </c>
      <c r="DO58" s="90"/>
      <c r="DP58" s="90"/>
      <c r="DQ58" s="88" t="s">
        <v>54</v>
      </c>
      <c r="DR58" s="81">
        <v>395031</v>
      </c>
      <c r="DS58" s="315">
        <v>-1.17</v>
      </c>
      <c r="DU58" s="82">
        <v>157.5</v>
      </c>
      <c r="DV58" s="82">
        <f ca="1">DU58-TabCalc[[#This Row],[M_V]]</f>
        <v>-3.5500000000000114</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573552</v>
      </c>
      <c r="G59" s="82">
        <f ca="1">IFERROR(TabCalc[[#This Row],[SB]]-TabCalc[[#This Row],[SST]],TabCalc[[#This Row],[SB]])</f>
        <v>36000</v>
      </c>
      <c r="H59" s="532" t="str">
        <f ca="1">[1]!RTData[[#This Row],[Ticker_Symbol]]</f>
        <v>MVEENI</v>
      </c>
      <c r="I59" s="383">
        <f ca="1">_xlfn.XLOOKUP(TabCalc[[#This Row],[Ticker]],[1]!RTData[Ticker_Symbol],[1]!RTData[M-Price])</f>
        <v>15.932</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-1.003E-3</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0.20521030248607677</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23775.999999999996</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6684.0000000000009</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-3248.0000000000045</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-11936.000000000007</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-2808</v>
      </c>
      <c r="AQ59" s="334">
        <f ca="1">_xlfn.LET(_xlpm.MVToday,DataShift!AV559,         _xlpm.MVY,DataShift!AU559,        _xlpm.MVYY, DataShift!AT559,                                IF(_xlpm.MVToday=_xlpm.MVY,_xlpm.MVY-_xlpm.MVYY,_xlpm.MVToday-_xlpm.MVY))</f>
        <v>960</v>
      </c>
      <c r="AR59" s="334">
        <f ca="1">_xlfn.LET(_xlpm.MVToday,DataShift!AV559,         _xlpm.MVY,DataShift!AU559,        _xlpm.MVYY, DataShift!AT559,         _xlpm.MVYYY, DataShift!AS559,                      IF(_xlpm.MVToday=_xlpm.MVY,      _xlpm.MVYY-_xlpm.MVYYY,          _xlpm.MVY-_xlpm.MVYY))</f>
        <v>-8640</v>
      </c>
      <c r="AS59" s="984">
        <f ca="1">TabCalc[[#This Row],[Y]]/TabCalc[[#This Row],[M]]</f>
        <v>1.0119715038915391</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-2.7011465507299201E-5</v>
      </c>
      <c r="AY59" s="82">
        <f t="shared" ca="1" si="5"/>
        <v>0</v>
      </c>
      <c r="AZ59" s="90">
        <f ca="1">_xlfn.XLOOKUP(TabCalc[[#This Row],[Ticker]],[1]!RTData[Ticker_Symbol],[1]!RTData[V/VA])</f>
        <v>0.59620640604938813</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0.59620640604938813</v>
      </c>
      <c r="BC59" s="87" cm="1">
        <f t="array" aca="1" ref="BC59" ca="1">INDEX(TabReg[], 1, _xlfn.XMATCH(TabCalc[[#This Row],[Ticker]]&amp;1, TabReg[#Headers], 0))</f>
        <v>10000</v>
      </c>
      <c r="BD59" s="159">
        <f ca="1">TabCalc[[#This Row],[Nbegin]]*TabCalc[[#This Row],[M]]*TabCalc[[#This Row],[Scale]]+TabCalc[[#This Row],[ValueBegin]]</f>
        <v>3394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417626</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74682.777999999933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45968.708333333336</v>
      </c>
      <c r="BT59" s="175">
        <f ca="1">(TabCalc[[#This Row],[ValueBegin]]+(TabCalc[[#This Row],[M]]-TabCalc[[#This Row],[A]])*TabCalc[[#This Row],[NAfter]])*TabCalc[[#This Row],[Scale]]</f>
        <v>-65800.799999999974</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90125.200000000026</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1682.368775235532</v>
      </c>
      <c r="CX59" s="405">
        <f ca="1">TabCalc[[#This Row],[ntoSell]]*TabCalc[[#This Row],[M]]</f>
        <v>26803.499327052497</v>
      </c>
      <c r="CY59" s="398">
        <f ca="1">_xlfn.LET(_xlpm.nToSell,IF(TabCalc[[#This Row],[M]]-TabCalc[[#This Row],[A]]&lt;=0,"",INT(DesiredSaleGain/(TabCalc[[#This Row],[M]]-IF(TabCalc[[#This Row],[E]]&gt;0,0,TabCalc[[#This Row],[A]])))),IF(_xlpm.nToSell&lt;=TabCalc[[#This Row],[NAfter]],_xlpm.nToSell,0))</f>
        <v>1997</v>
      </c>
      <c r="CZ59" s="336">
        <f ca="1">IFERROR(TabCalc[[#This Row],[NMA]]*TabCalc[[#This Row],[M]],"")</f>
        <v>31816.204000000002</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90125.200000000026</v>
      </c>
      <c r="DB59" s="90">
        <f ca="1">IFERROR((TabCalc[[#This Row],[M]]+TabCalc[[#This Row],[L_Bp]])/ABS(TabCalc[[#This Row],[L_Bp]])/(TODAY()-TabCalc[[#This Row],[L_Bdate]])*360,"")</f>
        <v>0.51276742581090395</v>
      </c>
      <c r="DC59" s="310">
        <f ca="1">MEDIAN(DataShift!F758:Z758)</f>
        <v>-1.702E-3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159320</v>
      </c>
      <c r="DF59" s="87" cm="1">
        <f t="array" aca="1" ref="DF59" ca="1">SUMPRODUCT(ISNUMBER(INDIRECT("TabReg["&amp;TabCalc[[#This Row],[Ticker]]&amp;"2]"))* INDIRECT("TabReg["&amp;TabCalc[[#This Row],[Ticker]]&amp;"1]") * INDIRECT("TabReg["&amp;TabCalc[[#This Row],[Ticker]]&amp;"2]") )*TabCalc[[#This Row],[Scale]]</f>
        <v>-498869.22200000007</v>
      </c>
      <c r="DI59" s="87">
        <f ca="1"/>
        <v>89000</v>
      </c>
      <c r="DJ59" s="90">
        <f t="shared" ca="1" si="3"/>
        <v>-0.78063079911678468</v>
      </c>
      <c r="DK59" t="str">
        <f ca="1">_xlfn.XLOOKUP(DI59,TabCalc[Column1],TabCalc[Ticker])</f>
        <v>DDD</v>
      </c>
      <c r="DL59" s="87">
        <f ca="1">_xlfn.XLOOKUP(DK59,TabCalc[Ticker],TabCalc[ValueBegin])</f>
        <v>-414395</v>
      </c>
      <c r="DM59" s="87">
        <f ca="1">_xlfn.XLOOKUP(DK59,TabCalc[Ticker],TabCalc[M_V])</f>
        <v>189125</v>
      </c>
      <c r="DN59" s="87">
        <f ca="1">_xlfn.XLOOKUP(DK59,TabCalc[Ticker],TabCalc[GL])</f>
        <v>-323489.5</v>
      </c>
      <c r="DO59" s="90"/>
      <c r="DP59" s="90"/>
      <c r="DQ59" s="88" t="s">
        <v>55</v>
      </c>
      <c r="DR59" s="81">
        <v>10000</v>
      </c>
      <c r="DS59" s="315">
        <v>-4.33</v>
      </c>
      <c r="DU59" s="82">
        <v>572760</v>
      </c>
      <c r="DV59" s="82">
        <f ca="1">DU59-TabCalc[[#This Row],[M_V]]</f>
        <v>-792</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-0.15163609566633734</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0.25000000000002842</v>
      </c>
      <c r="AR60" s="334">
        <f ca="1">_xlfn.LET(_xlpm.MVToday,DataShift!AV560,         _xlpm.MVY,DataShift!AU560,        _xlpm.MVYY, DataShift!AT560,         _xlpm.MVYYY, DataShift!AS560,                      IF(_xlpm.MVToday=_xlpm.MVY,      _xlpm.MVYY-_xlpm.MVYYY,          _xlpm.MVY-_xlpm.MVYY))</f>
        <v>0.29999999999998295</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-1.1037790697674417</v>
      </c>
      <c r="DC60" s="310">
        <f ca="1">MEDIAN(DataShift!F759:Z759)</f>
        <v>1.555E-3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85041</v>
      </c>
      <c r="DJ60" s="90">
        <f t="shared" ca="1" si="3"/>
        <v>0.17332692050000978</v>
      </c>
      <c r="DK60" t="str">
        <f ca="1">_xlfn.XLOOKUP(DI60,TabCalc[Column1],TabCalc[Ticker])</f>
        <v>GNRC</v>
      </c>
      <c r="DL60" s="87">
        <f ca="1">_xlfn.XLOOKUP(DK60,TabCalc[Ticker],TabCalc[ValueBegin])</f>
        <v>-104478</v>
      </c>
      <c r="DM60" s="87">
        <f ca="1">_xlfn.XLOOKUP(DK60,TabCalc[Ticker],TabCalc[M_V])</f>
        <v>139158</v>
      </c>
      <c r="DN60" s="87">
        <f ca="1">_xlfn.XLOOKUP(DK60,TabCalc[Ticker],TabCalc[GL])</f>
        <v>18108.85000000002</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382480</v>
      </c>
      <c r="G61" s="82">
        <f ca="1">IFERROR(TabCalc[[#This Row],[SB]]-TabCalc[[#This Row],[SST]],TabCalc[[#This Row],[SB]])</f>
        <v>7000</v>
      </c>
      <c r="H61" s="532" t="str">
        <f ca="1">[1]!RTData[[#This Row],[Ticker_Symbol]]</f>
        <v>MVEGLE</v>
      </c>
      <c r="I61" s="383">
        <f ca="1">_xlfn.XLOOKUP(TabCalc[[#This Row],[Ticker]],[1]!RTData[Ticker_Symbol],[1]!RTData[M-Price])</f>
        <v>54.64</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-2.0788999999999998E-2</v>
      </c>
      <c r="N61" s="1077">
        <v>0</v>
      </c>
      <c r="O61" s="899">
        <f>TabCalc[[#This Row],[Up20]]-1+TabCalc[[#This Row],[Up20]]</f>
        <v>-1</v>
      </c>
      <c r="P61" s="899">
        <f>TabCalc[[#This Row],[Up20]]-TabCalc[[#This Row],[Up150]]</f>
        <v>-0.7142857142857143</v>
      </c>
      <c r="Q61" s="899">
        <v>0.7142857142857143</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-1.3629568195677535E-2</v>
      </c>
      <c r="U61" s="1013">
        <v>1010</v>
      </c>
      <c r="V61" s="1013">
        <v>5990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619.9999999999975</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-79.999999999998295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-7170.0000000000018</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-8880.0000000000018</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-10080</v>
      </c>
      <c r="AQ61" s="334">
        <f ca="1">_xlfn.LET(_xlpm.MVToday,DataShift!AV561,         _xlpm.MVY,DataShift!AU561,        _xlpm.MVYY, DataShift!AT561,                                IF(_xlpm.MVToday=_xlpm.MVY,_xlpm.MVY-_xlpm.MVYY,_xlpm.MVToday-_xlpm.MVY))</f>
        <v>-576</v>
      </c>
      <c r="AR61" s="334">
        <f ca="1">_xlfn.LET(_xlpm.MVToday,DataShift!AV561,         _xlpm.MVY,DataShift!AU561,        _xlpm.MVYY, DataShift!AT561,         _xlpm.MVYYY, DataShift!AS561,                      IF(_xlpm.MVToday=_xlpm.MVY,      _xlpm.MVYY-_xlpm.MVYYY,          _xlpm.MVY-_xlpm.MVYY))</f>
        <v>-720</v>
      </c>
      <c r="AS61" s="984">
        <f ca="1">TabCalc[[#This Row],[Y]]/TabCalc[[#This Row],[M]]</f>
        <v>1.1838599926793558</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-0.28686136581434274</v>
      </c>
      <c r="AY61" s="82">
        <f t="shared" ca="1" si="5"/>
        <v>3000</v>
      </c>
      <c r="AZ61" s="90">
        <f ca="1">_xlfn.XLOOKUP(TabCalc[[#This Row],[Ticker]],[1]!RTData[Ticker_Symbol],[1]!RTData[V/VA])</f>
        <v>0.71645315441424917</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0.71645315441424917</v>
      </c>
      <c r="BC61" s="87" cm="1">
        <f t="array" aca="1" ref="BC61" ca="1">INDEX(TabReg[], 1, _xlfn.XMATCH(TabCalc[[#This Row],[Ticker]]&amp;1, TabReg[#Headers], 0))</f>
        <v>10000</v>
      </c>
      <c r="BD61" s="159">
        <f ca="1">TabCalc[[#This Row],[Nbegin]]*TabCalc[[#This Row],[M]]*TabCalc[[#This Row],[Scale]]+TabCalc[[#This Row],[ValueBegin]]</f>
        <v>303233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139313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85889.049999999988</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45968.708333333336</v>
      </c>
      <c r="BT61" s="175">
        <f ca="1">(TabCalc[[#This Row],[ValueBegin]]+(TabCalc[[#This Row],[M]]-TabCalc[[#This Row],[A]])*TabCalc[[#This Row],[NAfter]])*TabCalc[[#This Row],[Scale]]</f>
        <v>-250312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-7144.9999999999891</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7000</v>
      </c>
      <c r="CX61" s="405">
        <f ca="1">TabCalc[[#This Row],[ntoSell]]*TabCalc[[#This Row],[M]]</f>
        <v>382480</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-7144.9999999999891</v>
      </c>
      <c r="DB61" s="90">
        <f ca="1">IFERROR((TabCalc[[#This Row],[M]]+TabCalc[[#This Row],[L_Bp]])/ABS(TabCalc[[#This Row],[L_Bp]])/(TODAY()-TabCalc[[#This Row],[L_Bdate]])*360,"")</f>
        <v>0.19675252551964797</v>
      </c>
      <c r="DC61" s="310">
        <f ca="1">MEDIAN(DataShift!F760:Z760)</f>
        <v>1.6130000000000001E-3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546400</v>
      </c>
      <c r="DF61" s="87" cm="1">
        <f t="array" aca="1" ref="DF61" ca="1">SUMPRODUCT(ISNUMBER(INDIRECT("TabReg["&amp;TabCalc[[#This Row],[Ticker]]&amp;"2]"))* INDIRECT("TabReg["&amp;TabCalc[[#This Row],[Ticker]]&amp;"1]") * INDIRECT("TabReg["&amp;TabCalc[[#This Row],[Ticker]]&amp;"2]") )*TabCalc[[#This Row],[Scale]]</f>
        <v>-296590.95</v>
      </c>
      <c r="DI61" s="87">
        <f ca="1"/>
        <v>70660</v>
      </c>
      <c r="DJ61" s="90">
        <f t="shared" ca="1" si="3"/>
        <v>0.38541524064171123</v>
      </c>
      <c r="DK61" t="str">
        <f ca="1">_xlfn.XLOOKUP(DI61,TabCalc[Column1],TabCalc[Ticker])</f>
        <v>GM</v>
      </c>
      <c r="DL61" s="87">
        <f ca="1">_xlfn.XLOOKUP(DK61,TabCalc[Ticker],TabCalc[ValueBegin])</f>
        <v>-37400</v>
      </c>
      <c r="DM61" s="87">
        <f ca="1">_xlfn.XLOOKUP(DK61,TabCalc[Ticker],TabCalc[M_V])</f>
        <v>706.59999999999991</v>
      </c>
      <c r="DN61" s="87">
        <f ca="1">_xlfn.XLOOKUP(DK61,TabCalc[Ticker],TabCalc[GL])</f>
        <v>14414.53</v>
      </c>
      <c r="DO61" s="90"/>
      <c r="DP61" s="90"/>
      <c r="DQ61" s="88" t="s">
        <v>57</v>
      </c>
      <c r="DR61" s="82">
        <v>20000</v>
      </c>
      <c r="DS61" s="315">
        <v>-11.0603</v>
      </c>
      <c r="DU61" s="82">
        <v>382060</v>
      </c>
      <c r="DV61" s="82">
        <f ca="1">DU61-TabCalc[[#This Row],[M_V]]</f>
        <v>-420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280467</v>
      </c>
      <c r="G62" s="82">
        <f ca="1">IFERROR(TabCalc[[#This Row],[SB]]-TabCalc[[#This Row],[SST]],TabCalc[[#This Row],[SB]])</f>
        <v>19800</v>
      </c>
      <c r="H62" s="532" t="str">
        <f ca="1">[1]!RTData[[#This Row],[Ticker_Symbol]]</f>
        <v>MVEORA</v>
      </c>
      <c r="I62" s="383">
        <f ca="1">_xlfn.XLOOKUP(TabCalc[[#This Row],[Ticker]],[1]!RTData[Ticker_Symbol],[1]!RTData[M-Price])</f>
        <v>14.164999999999999</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1.6141000000000003E-2</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-555.00000000000148</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5849.9999999999982</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-503.99999999999989</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-469.99999999999886</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4257</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1.0816957289092834</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-7.1401859146017991E-3</v>
      </c>
      <c r="AY62" s="82">
        <f t="shared" ca="1" si="5"/>
        <v>0</v>
      </c>
      <c r="AZ62" s="90">
        <f ca="1">_xlfn.XLOOKUP(TabCalc[[#This Row],[Ticker]],[1]!RTData[Ticker_Symbol],[1]!RTData[V/VA])</f>
        <v>1.0808883296742351</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1.0808883296742351</v>
      </c>
      <c r="BC62" s="87" cm="1">
        <f t="array" aca="1" ref="BC62" ca="1">INDEX(TabReg[], 1, _xlfn.XMATCH(TabCalc[[#This Row],[Ticker]]&amp;1, TabReg[#Headers], 0))</f>
        <v>7300</v>
      </c>
      <c r="BD62" s="159">
        <f ca="1">TabCalc[[#This Row],[Nbegin]]*TabCalc[[#This Row],[M]]*TabCalc[[#This Row],[Scale]]+TabCalc[[#This Row],[ValueBegin]]</f>
        <v>24681.299999999988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201743.8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102094.04999999999</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45968.708333333336</v>
      </c>
      <c r="BT62" s="175">
        <f ca="1">(TabCalc[[#This Row],[ValueBegin]]+(TabCalc[[#This Row],[M]]-TabCalc[[#This Row],[A]])*TabCalc[[#This Row],[NAfter]])*TabCalc[[#This Row],[Scale]]</f>
        <v>-38130.200000000033</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40592.999999999978</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2438</v>
      </c>
      <c r="CZ62" s="336">
        <f ca="1">IFERROR(TabCalc[[#This Row],[NMA]]*TabCalc[[#This Row],[M]],"")</f>
        <v>34534.269999999997</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40592.999999999978</v>
      </c>
      <c r="DB62" s="90">
        <f ca="1">IFERROR((TabCalc[[#This Row],[M]]+TabCalc[[#This Row],[L_Bp]])/ABS(TabCalc[[#This Row],[L_Bp]])/(TODAY()-TabCalc[[#This Row],[L_Bdate]])*360,"")</f>
        <v>-5.525136884021916E-2</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103404.5</v>
      </c>
      <c r="DF62" s="87" cm="1">
        <f t="array" aca="1" ref="DF62" ca="1">SUMPRODUCT(ISNUMBER(INDIRECT("TabReg["&amp;TabCalc[[#This Row],[Ticker]]&amp;"2]"))* INDIRECT("TabReg["&amp;TabCalc[[#This Row],[Ticker]]&amp;"1]") * INDIRECT("TabReg["&amp;TabCalc[[#This Row],[Ticker]]&amp;"2]") )*TabCalc[[#This Row],[Scale]]</f>
        <v>-178372.95</v>
      </c>
      <c r="DI62" s="87">
        <f ca="1"/>
        <v>67966.5</v>
      </c>
      <c r="DJ62" s="90">
        <f t="shared" ca="1" si="3"/>
        <v>-0.20214323024934178</v>
      </c>
      <c r="DK62" t="str">
        <f ca="1">_xlfn.XLOOKUP(DI62,TabCalc[Column1],TabCalc[Ticker])</f>
        <v>LUV</v>
      </c>
      <c r="DL62" s="87">
        <f ca="1">_xlfn.XLOOKUP(DK62,TabCalc[Ticker],TabCalc[ValueBegin])</f>
        <v>-93807</v>
      </c>
      <c r="DM62" s="87">
        <f ca="1">_xlfn.XLOOKUP(DK62,TabCalc[Ticker],TabCalc[M_V])</f>
        <v>38838</v>
      </c>
      <c r="DN62" s="87">
        <f ca="1">_xlfn.XLOOKUP(DK62,TabCalc[Ticker],TabCalc[GL])</f>
        <v>-18962.450000000004</v>
      </c>
      <c r="DO62" s="90"/>
      <c r="DP62" s="90"/>
      <c r="DQ62" s="88" t="s">
        <v>58</v>
      </c>
      <c r="DR62" s="82">
        <v>10000</v>
      </c>
      <c r="DS62" s="315">
        <v>-15.592599999999999</v>
      </c>
      <c r="DU62" s="82">
        <v>271557</v>
      </c>
      <c r="DV62" s="82">
        <f ca="1">DU62-TabCalc[[#This Row],[M_V]]</f>
        <v>-8910</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42.91</v>
      </c>
      <c r="G63" s="82">
        <f ca="1">IFERROR(TabCalc[[#This Row],[SB]]-TabCalc[[#This Row],[SST]],TabCalc[[#This Row],[SB]])</f>
        <v>1</v>
      </c>
      <c r="H63" s="532" t="str">
        <f ca="1">[1]!RTData[[#This Row],[Ticker_Symbol]]</f>
        <v>MVERWE</v>
      </c>
      <c r="I63" s="383">
        <f ca="1">_xlfn.XLOOKUP(TabCalc[[#This Row],[Ticker]],[1]!RTData[Ticker_Symbol],[1]!RTData[M-Price])</f>
        <v>42.91</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-4.1770000000000002E-3</v>
      </c>
      <c r="N63" s="1077">
        <v>0</v>
      </c>
      <c r="O63" s="899">
        <f>TabCalc[[#This Row],[Up20]]-1+TabCalc[[#This Row],[Up20]]</f>
        <v>-1</v>
      </c>
      <c r="P63" s="899">
        <f>TabCalc[[#This Row],[Up20]]-TabCalc[[#This Row],[Up150]]</f>
        <v>-0.5</v>
      </c>
      <c r="Q63" s="899">
        <v>0.5</v>
      </c>
      <c r="R63" s="899">
        <f>TabCalc[[#This Row],[Up150]]-1+TabCalc[[#This Row],[Up150]]</f>
        <v>0</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0.18983111337243985</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9.8149999999999977</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14.699999999999996</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-38190.44999999999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-54479.999999999993</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-0.20000000000000284</v>
      </c>
      <c r="AQ63" s="334">
        <f ca="1">_xlfn.LET(_xlpm.MVToday,DataShift!AV563,         _xlpm.MVY,DataShift!AU563,        _xlpm.MVYY, DataShift!AT563,                                IF(_xlpm.MVToday=_xlpm.MVY,_xlpm.MVY-_xlpm.MVYY,_xlpm.MVToday-_xlpm.MVY))</f>
        <v>-8120</v>
      </c>
      <c r="AR63" s="334">
        <f ca="1">_xlfn.LET(_xlpm.MVToday,DataShift!AV563,         _xlpm.MVY,DataShift!AU563,        _xlpm.MVYY, DataShift!AT563,         _xlpm.MVYYY, DataShift!AS563,                      IF(_xlpm.MVToday=_xlpm.MVY,      _xlpm.MVYY-_xlpm.MVYYY,          _xlpm.MVY-_xlpm.MVYY))</f>
        <v>8120</v>
      </c>
      <c r="AS63" s="984">
        <f ca="1">TabCalc[[#This Row],[Y]]/TabCalc[[#This Row],[M]]</f>
        <v>1.0428119319505942</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-3.228843548760239E-3</v>
      </c>
      <c r="AY63" s="82">
        <f t="shared" ca="1" si="5"/>
        <v>9999</v>
      </c>
      <c r="AZ63" s="90">
        <f ca="1">_xlfn.XLOOKUP(TabCalc[[#This Row],[Ticker]],[1]!RTData[Ticker_Symbol],[1]!RTData[V/VA])</f>
        <v>4.4524727823072796E-3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4.4524727823072796E-3</v>
      </c>
      <c r="BC63" s="87" cm="1">
        <f t="array" aca="1" ref="BC63" ca="1">INDEX(TabReg[], 1, _xlfn.XMATCH(TabCalc[[#This Row],[Ticker]]&amp;1, TabReg[#Headers], 0))</f>
        <v>10000</v>
      </c>
      <c r="BD63" s="159">
        <f ca="1">TabCalc[[#This Row],[Nbegin]]*TabCalc[[#This Row],[M]]*TabCalc[[#This Row],[Scale]]+TabCalc[[#This Row],[ValueBegin]]</f>
        <v>70299.999999999942</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-358757.09</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37558.049999999988</v>
      </c>
      <c r="BM63" s="159">
        <f ca="1">IF(        OR( TabCalc[[#This Row],[GL]]&gt;ABS(TabCalc[[#This Row],[EfCost]]),TabCalc[[#This Row],[NAfter]]=0),             TabCalc[[#This Row],[GL]],     0)</f>
        <v>37558.049999999988</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45968.859722222223</v>
      </c>
      <c r="BT63" s="175">
        <f ca="1">(TabCalc[[#This Row],[ValueBegin]]+(TabCalc[[#This Row],[M]]-TabCalc[[#This Row],[A]])*TabCalc[[#This Row],[NAfter]])*TabCalc[[#This Row],[Scale]]</f>
        <v>-358790.185</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9.8149999999999977</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42.91</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9.8149999999999977</v>
      </c>
      <c r="DB63" s="90">
        <f ca="1">IFERROR((TabCalc[[#This Row],[M]]+TabCalc[[#This Row],[L_Bp]])/ABS(TabCalc[[#This Row],[L_Bp]])/(TODAY()-TabCalc[[#This Row],[L_Bdate]])*360,"")</f>
        <v>0.56489615033201668</v>
      </c>
      <c r="DC63" s="310">
        <f ca="1">MEDIAN(DataShift!F762:Z762)</f>
        <v>-1.49E-3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429099.99999999994</v>
      </c>
      <c r="DF63" s="87" cm="1">
        <f t="array" aca="1" ref="DF63" ca="1">SUMPRODUCT(ISNUMBER(INDIRECT("TabReg["&amp;TabCalc[[#This Row],[Ticker]]&amp;"2]"))* INDIRECT("TabReg["&amp;TabCalc[[#This Row],[Ticker]]&amp;"1]") * INDIRECT("TabReg["&amp;TabCalc[[#This Row],[Ticker]]&amp;"2]") )*TabCalc[[#This Row],[Scale]]</f>
        <v>37515.139999999985</v>
      </c>
      <c r="DI63" s="87">
        <f ca="1"/>
        <v>66003.149999999994</v>
      </c>
      <c r="DJ63" s="90">
        <f t="shared" ca="1" si="3"/>
        <v>3.4325732267086528</v>
      </c>
      <c r="DK63" t="str">
        <f ca="1">_xlfn.XLOOKUP(DI63,TabCalc[Column1],TabCalc[Ticker])</f>
        <v>AVGO</v>
      </c>
      <c r="DL63" s="87">
        <f ca="1">_xlfn.XLOOKUP(DK63,TabCalc[Ticker],TabCalc[ValueBegin])</f>
        <v>-20833.750799999998</v>
      </c>
      <c r="DM63" s="87">
        <f ca="1">_xlfn.XLOOKUP(DK63,TabCalc[Ticker],TabCalc[M_V])</f>
        <v>138954</v>
      </c>
      <c r="DN63" s="87">
        <f ca="1">_xlfn.XLOOKUP(DK63,TabCalc[Ticker],TabCalc[GL])</f>
        <v>71513.375207999969</v>
      </c>
      <c r="DO63" s="90"/>
      <c r="DP63" s="90"/>
      <c r="DQ63" s="88" t="s">
        <v>59</v>
      </c>
      <c r="DR63" s="82">
        <v>10000</v>
      </c>
      <c r="DS63" s="315">
        <v>-35.880000000000003</v>
      </c>
      <c r="DU63" s="82">
        <v>42.34</v>
      </c>
      <c r="DV63" s="82">
        <f ca="1">DU63-TabCalc[[#This Row],[M_V]]</f>
        <v>-0.56999999999999318</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86475.650000000009</v>
      </c>
      <c r="G64" s="82">
        <f ca="1">IFERROR(TabCalc[[#This Row],[SB]]-TabCalc[[#This Row],[SST]],TabCalc[[#This Row],[SB]])</f>
        <v>401</v>
      </c>
      <c r="H64" s="532" t="str">
        <f ca="1">[1]!RTData[[#This Row],[Ticker_Symbol]]</f>
        <v>MVESAP</v>
      </c>
      <c r="I64" s="383">
        <f ca="1">_xlfn.XLOOKUP(TabCalc[[#This Row],[Ticker]],[1]!RTData[Ticker_Symbol],[1]!RTData[M-Price])</f>
        <v>215.65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-1.0553E-2</v>
      </c>
      <c r="N64" s="1077">
        <v>0</v>
      </c>
      <c r="O64" s="899">
        <f>TabCalc[[#This Row],[Up20]]-1+TabCalc[[#This Row],[Up20]]</f>
        <v>-1</v>
      </c>
      <c r="P64" s="899">
        <f>TabCalc[[#This Row],[Up20]]-TabCalc[[#This Row],[Up150]]</f>
        <v>-0.6</v>
      </c>
      <c r="Q64" s="899">
        <v>0.6</v>
      </c>
      <c r="R64" s="899">
        <f>TabCalc[[#This Row],[Up150]]-1+TabCalc[[#This Row],[Up150]]</f>
        <v>0.19999999999999996</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-9.7803805267169724E-2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-7050</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-8790.0000000000036</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25915.000000000007</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24075.000000000004</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-1604</v>
      </c>
      <c r="AQ64" s="334">
        <f ca="1">_xlfn.LET(_xlpm.MVToday,DataShift!AV564,         _xlpm.MVY,DataShift!AU564,        _xlpm.MVYY, DataShift!AT564,                                IF(_xlpm.MVToday=_xlpm.MVY,_xlpm.MVY-_xlpm.MVYY,_xlpm.MVToday-_xlpm.MVY))</f>
        <v>4455</v>
      </c>
      <c r="AR64" s="334">
        <f ca="1">_xlfn.LET(_xlpm.MVToday,DataShift!AV564,         _xlpm.MVY,DataShift!AU564,        _xlpm.MVYY, DataShift!AT564,         _xlpm.MVYYY, DataShift!AS564,                      IF(_xlpm.MVToday=_xlpm.MVY,      _xlpm.MVYY-_xlpm.MVYYY,          _xlpm.MVY-_xlpm.MVYY))</f>
        <v>4455</v>
      </c>
      <c r="AS64" s="984">
        <f ca="1">TabCalc[[#This Row],[Y]]/TabCalc[[#This Row],[M]]</f>
        <v>1.3385893809413403</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-6.2534846356887686</v>
      </c>
      <c r="AY64" s="82">
        <f t="shared" ca="1" si="5"/>
        <v>599</v>
      </c>
      <c r="AZ64" s="90">
        <f ca="1">_xlfn.XLOOKUP(TabCalc[[#This Row],[Ticker]],[1]!RTData[Ticker_Symbol],[1]!RTData[V/VA])</f>
        <v>1.1597733249552002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1.1597733249552002</v>
      </c>
      <c r="BC64" s="87" cm="1">
        <f t="array" aca="1" ref="BC64" ca="1">INDEX(TabReg[], 1, _xlfn.XMATCH(TabCalc[[#This Row],[Ticker]]&amp;1, TabReg[#Headers], 0))</f>
        <v>1000</v>
      </c>
      <c r="BD64" s="159">
        <f ca="1">TabCalc[[#This Row],[Nbegin]]*TabCalc[[#This Row],[M]]*TabCalc[[#This Row],[Scale]]+TabCalc[[#This Row],[ValueBegin]]</f>
        <v>71090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-58084.349999999991</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50268.786999999931</v>
      </c>
      <c r="BM64" s="159">
        <f ca="1">IF(        OR( TabCalc[[#This Row],[GL]]&gt;ABS(TabCalc[[#This Row],[EfCost]]),TabCalc[[#This Row],[NAfter]]=0),             TabCalc[[#This Row],[GL]],     0)</f>
        <v>50268.786999999931</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139.32</v>
      </c>
      <c r="BR64" s="174" t="str">
        <f ca="1">IF(TabCalc[[#This Row],[EfCost]]+TabCalc[[#This Row],[M_V]]&lt;TabCalc[[#This Row],[NoT_GL]],"Pile","")</f>
        <v>Pile</v>
      </c>
      <c r="BS64" s="165">
        <f ca="1">_xlfn.XLOOKUP(TabCalc[[#This Row],[Ticker]],[1]!RTData[Ticker_Symbol],[1]!RTData[Last trade time])</f>
        <v>45968.8125</v>
      </c>
      <c r="BT64" s="175">
        <f ca="1">(TabCalc[[#This Row],[ValueBegin]]+(TabCalc[[#This Row],[M]]-TabCalc[[#This Row],[A]])*TabCalc[[#This Row],[NAfter]])*TabCalc[[#This Row],[Scale]]</f>
        <v>-160447.23000000001</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-15887.23</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96.469226316804921</v>
      </c>
      <c r="CV64" s="404">
        <f ca="1">IF(TabCalc[[#This Row],[ntoBuy]]*TabCalc[[#This Row],[M]]&lt;=0,0,TabCalc[[#This Row],[ntoBuy]]*TabCalc[[#This Row],[M]])</f>
        <v>20803.58865521898</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-15887.23</v>
      </c>
      <c r="DB64" s="90">
        <f ca="1">IFERROR((TabCalc[[#This Row],[M]]+TabCalc[[#This Row],[L_Bp]])/ABS(TabCalc[[#This Row],[L_Bp]])/(TODAY()-TabCalc[[#This Row],[L_Bdate]])*360,"")</f>
        <v>-0.47269083635361292</v>
      </c>
      <c r="DC64" s="310">
        <f ca="1">MEDIAN(DataShift!F763:Z763)</f>
        <v>2.8879999999999999E-3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215650</v>
      </c>
      <c r="DF64" s="87" cm="1">
        <f t="array" aca="1" ref="DF64" ca="1">SUMPRODUCT(ISNUMBER(INDIRECT("TabReg["&amp;TabCalc[[#This Row],[Ticker]]&amp;"2]"))* INDIRECT("TabReg["&amp;TabCalc[[#This Row],[Ticker]]&amp;"1]") * INDIRECT("TabReg["&amp;TabCalc[[#This Row],[Ticker]]&amp;"2]") )*TabCalc[[#This Row],[Scale]]</f>
        <v>-36206.863000000078</v>
      </c>
      <c r="DI64" s="87">
        <f ca="1"/>
        <v>50375</v>
      </c>
      <c r="DJ64" s="90">
        <f t="shared" ca="1" si="3"/>
        <v>-0.54587159143696373</v>
      </c>
      <c r="DK64" t="str">
        <f ca="1">_xlfn.XLOOKUP(DI64,TabCalc[Column1],TabCalc[Ticker])</f>
        <v>VTRS</v>
      </c>
      <c r="DL64" s="87">
        <f ca="1">_xlfn.XLOOKUP(DK64,TabCalc[Ticker],TabCalc[ValueBegin])</f>
        <v>-151443.94999999998</v>
      </c>
      <c r="DM64" s="87">
        <f ca="1">_xlfn.XLOOKUP(DK64,TabCalc[Ticker],TabCalc[M_V])</f>
        <v>50375</v>
      </c>
      <c r="DN64" s="87">
        <f ca="1">_xlfn.XLOOKUP(DK64,TabCalc[Ticker],TabCalc[GL])</f>
        <v>-82668.949999999953</v>
      </c>
      <c r="DO64" s="90"/>
      <c r="DP64" s="90"/>
      <c r="DQ64" s="88" t="s">
        <v>60</v>
      </c>
      <c r="DR64" s="82">
        <v>10000</v>
      </c>
      <c r="DS64" s="315">
        <v>-24.316700000000001</v>
      </c>
      <c r="DU64" s="82">
        <v>90646.05</v>
      </c>
      <c r="DV64" s="82">
        <f ca="1">DU64-TabCalc[[#This Row],[M_V]]</f>
        <v>4170.3999999999942</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15960</v>
      </c>
      <c r="G65" s="82">
        <f ca="1">IFERROR(TabCalc[[#This Row],[SB]]-TabCalc[[#This Row],[SST]],TabCalc[[#This Row],[SB]])</f>
        <v>560</v>
      </c>
      <c r="H65" s="532" t="str">
        <f ca="1">[1]!RTData[[#This Row],[Ticker_Symbol]]</f>
        <v>MVEUN0</v>
      </c>
      <c r="I65" s="383">
        <f ca="1">_xlfn.XLOOKUP(TabCalc[[#This Row],[Ticker]],[1]!RTData[Ticker_Symbol],[1]!RTData[M-Price])</f>
        <v>28.5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1.9678000000000001E-2</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-5.4421042654876468E-2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-825 = $ -23,513</v>
      </c>
      <c r="Z65" s="211">
        <f ca="1">MIN(TabCalc[[#This Row],[L_Bn]],TabCalc[[#This Row],[NAfter]])*(TabCalc[[#This Row],[M]]+TabCalc[[#This Row],[L_Bp]])*TabCalc[[#This Row],[Scale]]</f>
        <v>-348.07499999999987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-84.6</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8505.84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11270</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56</v>
      </c>
      <c r="AQ65" s="334">
        <f ca="1">_xlfn.LET(_xlpm.MVToday,DataShift!AV565,         _xlpm.MVY,DataShift!AU565,        _xlpm.MVYY, DataShift!AT565,                                IF(_xlpm.MVToday=_xlpm.MVY,_xlpm.MVY-_xlpm.MVYY,_xlpm.MVToday-_xlpm.MVY))</f>
        <v>-0.21000000000000085</v>
      </c>
      <c r="AR65" s="334">
        <f ca="1">_xlfn.LET(_xlpm.MVToday,DataShift!AV565,         _xlpm.MVY,DataShift!AU565,        _xlpm.MVYY, DataShift!AT565,         _xlpm.MVYYY, DataShift!AS565,                      IF(_xlpm.MVToday=_xlpm.MVY,      _xlpm.MVYY-_xlpm.MVYYY,          _xlpm.MVY-_xlpm.MVYY))</f>
        <v>0.50999999999999801</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1.1342155009451797E-2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1.1342155009451797E-2</v>
      </c>
      <c r="BC65" s="87" cm="1">
        <f t="array" aca="1" ref="BC65" ca="1">INDEX(TabReg[], 1, _xlfn.XMATCH(TabCalc[[#This Row],[Ticker]]&amp;1, TabReg[#Headers], 0))</f>
        <v>45</v>
      </c>
      <c r="BD65" s="159">
        <f ca="1">TabCalc[[#This Row],[Nbegin]]*TabCalc[[#This Row],[M]]*TabCalc[[#This Row],[Scale]]+TabCalc[[#This Row],[ValueBegin]]</f>
        <v>-2260.9214999999999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12416.5785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-959.59150000000227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41.82</v>
      </c>
      <c r="BR65" s="174" t="str">
        <f ca="1">IF(TabCalc[[#This Row],[EfCost]]+TabCalc[[#This Row],[M_V]]&lt;TabCalc[[#This Row],[NoT_GL]],"Pile","")</f>
        <v/>
      </c>
      <c r="BS65" s="165">
        <f ca="1">_xlfn.XLOOKUP(TabCalc[[#This Row],[Ticker]],[1]!RTData[Ticker_Symbol],[1]!RTData[Last trade time])</f>
        <v>45968.834722222222</v>
      </c>
      <c r="BT65" s="175">
        <f ca="1">(TabCalc[[#This Row],[ValueBegin]]+(TabCalc[[#This Row],[M]]-TabCalc[[#This Row],[A]])*TabCalc[[#This Row],[NAfter]])*TabCalc[[#This Row],[Scale]]</f>
        <v>-11070.176500000001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-7526.755000000001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286.86173264486519</v>
      </c>
      <c r="CV65" s="404">
        <f ca="1">IF(TabCalc[[#This Row],[ntoBuy]]*TabCalc[[#This Row],[M]]&lt;=0,0,TabCalc[[#This Row],[ntoBuy]]*TabCalc[[#This Row],[M]])</f>
        <v>8175.5593803786578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-7526.755000000001</v>
      </c>
      <c r="DB65" s="90">
        <f ca="1">IFERROR((TabCalc[[#This Row],[M]]+TabCalc[[#This Row],[L_Bp]])/ABS(TabCalc[[#This Row],[L_Bp]])/(TODAY()-TabCalc[[#This Row],[L_Bdate]])*360,"")</f>
        <v>-0.76653306613226435</v>
      </c>
      <c r="DC65" s="310">
        <f ca="1">MEDIAN(DataShift!F764:Z764)</f>
        <v>-3.4100000000000003E-3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1282.5</v>
      </c>
      <c r="DF65" s="87" cm="1">
        <f t="array" aca="1" ref="DF65" ca="1">SUMPRODUCT(ISNUMBER(INDIRECT("TabReg["&amp;TabCalc[[#This Row],[Ticker]]&amp;"2]"))* INDIRECT("TabReg["&amp;TabCalc[[#This Row],[Ticker]]&amp;"1]") * INDIRECT("TabReg["&amp;TabCalc[[#This Row],[Ticker]]&amp;"2]") )*TabCalc[[#This Row],[Scale]]</f>
        <v>-16919.591500000002</v>
      </c>
      <c r="DI65" s="87">
        <f ca="1"/>
        <v>47697</v>
      </c>
      <c r="DJ65" s="90">
        <f t="shared" ca="1" si="3"/>
        <v>-1.1979303503787879</v>
      </c>
      <c r="DK65" t="str">
        <f ca="1">_xlfn.XLOOKUP(DI65,TabCalc[Column1],TabCalc[Ticker])</f>
        <v>BLNK</v>
      </c>
      <c r="DL65" s="87">
        <f ca="1">_xlfn.XLOOKUP(DK65,TabCalc[Ticker],TabCalc[ValueBegin])</f>
        <v>-211200</v>
      </c>
      <c r="DM65" s="87">
        <f ca="1">_xlfn.XLOOKUP(DK65,TabCalc[Ticker],TabCalc[M_V])</f>
        <v>190788</v>
      </c>
      <c r="DN65" s="87">
        <f ca="1">_xlfn.XLOOKUP(DK65,TabCalc[Ticker],TabCalc[GL])</f>
        <v>-253002.89</v>
      </c>
      <c r="DO65" s="90"/>
      <c r="DP65" s="90"/>
      <c r="DQ65" s="88" t="s">
        <v>61</v>
      </c>
      <c r="DR65" s="81">
        <v>45</v>
      </c>
      <c r="DS65" s="315">
        <v>-78.742699999999999</v>
      </c>
      <c r="DU65" s="82">
        <v>16576</v>
      </c>
      <c r="DV65" s="82">
        <f ca="1">DU65-TabCalc[[#This Row],[M_V]]</f>
        <v>616</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93798.950000000012</v>
      </c>
      <c r="G66" s="82">
        <f ca="1">IFERROR(TabCalc[[#This Row],[SB]]-TabCalc[[#This Row],[SST]],TabCalc[[#This Row],[SB]])</f>
        <v>350</v>
      </c>
      <c r="H66" s="532" t="str">
        <f ca="1">[1]!RTData[[#This Row],[Ticker_Symbol]]</f>
        <v>SAFAAPL</v>
      </c>
      <c r="I66" s="383">
        <f ca="1">_xlfn.XLOOKUP(TabCalc[[#This Row],[Ticker]],[1]!RTData[Ticker_Symbol],[1]!RTData[M-Price])</f>
        <v>267.99700000000001</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-6.5719999999999997E-3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0.23215052553201324</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20067.13</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22066.688000000006</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-1199.550000000002</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-11336.100000000002</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-620.54999999998836</v>
      </c>
      <c r="AQ66" s="334">
        <f ca="1">_xlfn.LET(_xlpm.MVToday,DataShift!AV566,         _xlpm.MVY,DataShift!AU566,        _xlpm.MVYY, DataShift!AT566,                                IF(_xlpm.MVToday=_xlpm.MVY,_xlpm.MVY-_xlpm.MVYY,_xlpm.MVToday-_xlpm.MVY))</f>
        <v>-922.29999999998836</v>
      </c>
      <c r="AR66" s="334">
        <f ca="1">_xlfn.LET(_xlpm.MVToday,DataShift!AV566,         _xlpm.MVY,DataShift!AU566,        _xlpm.MVYY, DataShift!AT566,         _xlpm.MVYYY, DataShift!AS566,                      IF(_xlpm.MVToday=_xlpm.MVY,      _xlpm.MVYY-_xlpm.MVYYY,          _xlpm.MVY-_xlpm.MVYY))</f>
        <v>-4010</v>
      </c>
      <c r="AS66" s="984">
        <f ca="1">TabCalc[[#This Row],[Y]]/TabCalc[[#This Row],[M]]</f>
        <v>1.0314703895939132</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-8.0980326871670869E-3</v>
      </c>
      <c r="AY66" s="82">
        <f t="shared" ca="1" si="5"/>
        <v>150</v>
      </c>
      <c r="AZ66" s="90">
        <f ca="1">_xlfn.XLOOKUP(TabCalc[[#This Row],[Ticker]],[1]!RTData[Ticker_Symbol],[1]!RTData[V/VA])</f>
        <v>0.75361006056948199</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0.75361006056948199</v>
      </c>
      <c r="BC66" s="87" cm="1">
        <f t="array" aca="1" ref="BC66" ca="1">INDEX(TabReg[], 1, _xlfn.XMATCH(TabCalc[[#This Row],[Ticker]]&amp;1, TabReg[#Headers], 0))</f>
        <v>500</v>
      </c>
      <c r="BD66" s="159">
        <f ca="1">TabCalc[[#This Row],[Nbegin]]*TabCalc[[#This Row],[M]]*TabCalc[[#This Row],[Scale]]+TabCalc[[#This Row],[ValueBegin]]</f>
        <v>99574.89999999998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59375.349999999991</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126353.78999999998</v>
      </c>
      <c r="BM66" s="159">
        <f ca="1">IF(        OR( TabCalc[[#This Row],[GL]]&gt;ABS(TabCalc[[#This Row],[EfCost]]),TabCalc[[#This Row],[NAfter]]=0),             TabCalc[[#This Row],[GL]],     0)</f>
        <v>126353.78999999998</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45968.870792939066</v>
      </c>
      <c r="BT66" s="175">
        <f ca="1">(TabCalc[[#This Row],[ValueBegin]]+(TabCalc[[#This Row],[M]]-TabCalc[[#This Row],[A]])*TabCalc[[#This Row],[NAfter]])*TabCalc[[#This Row],[Scale]]</f>
        <v>-10573.60920000001</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23849.99080000001</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72.257467809298092</v>
      </c>
      <c r="CX66" s="405">
        <f ca="1">TabCalc[[#This Row],[ntoSell]]*TabCalc[[#This Row],[M]]</f>
        <v>19364.784600488463</v>
      </c>
      <c r="CY66" s="398">
        <f ca="1">_xlfn.LET(_xlpm.nToSell,IF(TabCalc[[#This Row],[M]]-TabCalc[[#This Row],[A]]&lt;=0,"",INT(DesiredSaleGain/(TabCalc[[#This Row],[M]]-IF(TabCalc[[#This Row],[E]]&gt;0,0,TabCalc[[#This Row],[A]])))),IF(_xlpm.nToSell&lt;=TabCalc[[#This Row],[NAfter]],_xlpm.nToSell,0))</f>
        <v>73</v>
      </c>
      <c r="CZ66" s="336">
        <f ca="1">IFERROR(TabCalc[[#This Row],[NMA]]*TabCalc[[#This Row],[M]],"")</f>
        <v>19563.781000000003</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23849.99080000001</v>
      </c>
      <c r="DB66" s="90">
        <f ca="1">IFERROR((TabCalc[[#This Row],[M]]+TabCalc[[#This Row],[L_Bp]])/ABS(TabCalc[[#This Row],[L_Bp]])/(TODAY()-TabCalc[[#This Row],[L_Bdate]])*360,"")</f>
        <v>0.84098280960933391</v>
      </c>
      <c r="DC66" s="310">
        <f ca="1">MEDIAN(DataShift!F765:Z765)</f>
        <v>8.4099999999999995E-4</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133998.5</v>
      </c>
      <c r="DF66" s="87" cm="1">
        <f t="array" aca="1" ref="DF66" ca="1">SUMPRODUCT(ISNUMBER(INDIRECT("TabReg["&amp;TabCalc[[#This Row],[Ticker]]&amp;"2]"))* INDIRECT("TabReg["&amp;TabCalc[[#This Row],[Ticker]]&amp;"1]") * INDIRECT("TabReg["&amp;TabCalc[[#This Row],[Ticker]]&amp;"2]") )*TabCalc[[#This Row],[Scale]]</f>
        <v>32554.839999999967</v>
      </c>
      <c r="DI66" s="87">
        <f ca="1"/>
        <v>46680</v>
      </c>
      <c r="DJ66" s="90">
        <f t="shared" ca="1" si="3"/>
        <v>-1.3575840454545456</v>
      </c>
      <c r="DK66" t="str">
        <f ca="1">_xlfn.XLOOKUP(DI66,TabCalc[Column1],TabCalc[Ticker])</f>
        <v>MVEDSY</v>
      </c>
      <c r="DL66" s="87">
        <f ca="1">_xlfn.XLOOKUP(DK66,TabCalc[Ticker],TabCalc[ValueBegin])</f>
        <v>-88000</v>
      </c>
      <c r="DM66" s="87">
        <f ca="1">_xlfn.XLOOKUP(DK66,TabCalc[Ticker],TabCalc[M_V])</f>
        <v>280080</v>
      </c>
      <c r="DN66" s="87">
        <f ca="1">_xlfn.XLOOKUP(DK66,TabCalc[Ticker],TabCalc[GL])</f>
        <v>-119467.39600000001</v>
      </c>
      <c r="DO66" s="90"/>
      <c r="DP66" s="90"/>
      <c r="DQ66" s="88" t="s">
        <v>62</v>
      </c>
      <c r="DR66" s="82">
        <v>1000</v>
      </c>
      <c r="DS66" s="83">
        <v>-144.56</v>
      </c>
      <c r="DU66" s="82">
        <v>94514</v>
      </c>
      <c r="DV66" s="82">
        <f ca="1">DU66-TabCalc[[#This Row],[M_V]]</f>
        <v>715.04999999998836</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366840</v>
      </c>
      <c r="G67" s="82">
        <f ca="1">IFERROR(TabCalc[[#This Row],[SB]]-TabCalc[[#This Row],[SST]],TabCalc[[#This Row],[SB]])</f>
        <v>1500</v>
      </c>
      <c r="H67" s="532" t="str">
        <f ca="1">[1]!RTData[[#This Row],[Ticker_Symbol]]</f>
        <v>SAFAMZN</v>
      </c>
      <c r="I67" s="383">
        <f ca="1">_xlfn.XLOOKUP(TabCalc[[#This Row],[Ticker]],[1]!RTData[Ticker_Symbol],[1]!RTData[M-Price])</f>
        <v>244.56</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6.2539999999999991E-3</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0.1628644556174938</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15655.000000000002</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12767.499999999998</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-11454.999999999998</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-5920.0000000000018</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2340</v>
      </c>
      <c r="AQ67" s="334">
        <f ca="1">_xlfn.LET(_xlpm.MVToday,DataShift!AV567,         _xlpm.MVY,DataShift!AU567,        _xlpm.MVYY, DataShift!AT567,                                IF(_xlpm.MVToday=_xlpm.MVY,_xlpm.MVY-_xlpm.MVYY,_xlpm.MVToday-_xlpm.MVY))</f>
        <v>308</v>
      </c>
      <c r="AR67" s="334">
        <f ca="1">_xlfn.LET(_xlpm.MVToday,DataShift!AV567,         _xlpm.MVY,DataShift!AU567,        _xlpm.MVYY, DataShift!AT567,         _xlpm.MVYYY, DataShift!AS567,                      IF(_xlpm.MVToday=_xlpm.MVY,      _xlpm.MVYY-_xlpm.MVYYY,          _xlpm.MVY-_xlpm.MVYY))</f>
        <v>-868</v>
      </c>
      <c r="AS67" s="984">
        <f ca="1">TabCalc[[#This Row],[Y]]/TabCalc[[#This Row],[M]]</f>
        <v>1.1793592574419365</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-1.1964944736866203</v>
      </c>
      <c r="AY67" s="82">
        <f t="shared" ca="1" si="5"/>
        <v>500</v>
      </c>
      <c r="AZ67" s="90">
        <f ca="1">_xlfn.XLOOKUP(TabCalc[[#This Row],[Ticker]],[1]!RTData[Ticker_Symbol],[1]!RTData[V/VA])</f>
        <v>0.6942070189669548</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0.6942070189669548</v>
      </c>
      <c r="BC67" s="87" cm="1">
        <f t="array" aca="1" ref="BC67" ca="1">INDEX(TabReg[], 1, _xlfn.XMATCH(TabCalc[[#This Row],[Ticker]]&amp;1, TabReg[#Headers], 0))</f>
        <v>2000</v>
      </c>
      <c r="BD67" s="159">
        <f ca="1">TabCalc[[#This Row],[Nbegin]]*TabCalc[[#This Row],[M]]*TabCalc[[#This Row],[Scale]]+TabCalc[[#This Row],[ValueBegin]]</f>
        <v>174840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52560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195188.84100000001</v>
      </c>
      <c r="BM67" s="159">
        <f ca="1">IF(        OR( TabCalc[[#This Row],[GL]]&gt;ABS(TabCalc[[#This Row],[EfCost]]),TabCalc[[#This Row],[NAfter]]=0),             TabCalc[[#This Row],[GL]],     0)</f>
        <v>195188.84100000001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45968.870781133592</v>
      </c>
      <c r="BT67" s="175">
        <f ca="1">(TabCalc[[#This Row],[ValueBegin]]+(TabCalc[[#This Row],[M]]-TabCalc[[#This Row],[A]])*TabCalc[[#This Row],[NAfter]])*TabCalc[[#This Row],[Scale]]</f>
        <v>-254489.99999999997</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59790.000000000022</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159.69338869370807</v>
      </c>
      <c r="CX67" s="405">
        <f ca="1">TabCalc[[#This Row],[ntoSell]]*TabCalc[[#This Row],[M]]</f>
        <v>39054.615138933244</v>
      </c>
      <c r="CY67" s="398">
        <f ca="1">_xlfn.LET(_xlpm.nToSell,IF(TabCalc[[#This Row],[M]]-TabCalc[[#This Row],[A]]&lt;=0,"",INT(DesiredSaleGain/(TabCalc[[#This Row],[M]]-IF(TabCalc[[#This Row],[E]]&gt;0,0,TabCalc[[#This Row],[A]])))),IF(_xlpm.nToSell&lt;=TabCalc[[#This Row],[NAfter]],_xlpm.nToSell,0))</f>
        <v>125</v>
      </c>
      <c r="CZ67" s="336">
        <f ca="1">IFERROR(TabCalc[[#This Row],[NMA]]*TabCalc[[#This Row],[M]],"")</f>
        <v>30570</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59790.000000000022</v>
      </c>
      <c r="DB67" s="90">
        <f ca="1">IFERROR((TabCalc[[#This Row],[M]]+TabCalc[[#This Row],[L_Bp]])/ABS(TabCalc[[#This Row],[L_Bp]])/(TODAY()-TabCalc[[#This Row],[L_Bdate]])*360,"")</f>
        <v>0.35474008041102467</v>
      </c>
      <c r="DC67" s="310">
        <f ca="1">MEDIAN(DataShift!F766:Z766)</f>
        <v>1.585E-3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489120</v>
      </c>
      <c r="DF67" s="87" cm="1">
        <f t="array" aca="1" ref="DF67" ca="1">SUMPRODUCT(ISNUMBER(INDIRECT("TabReg["&amp;TabCalc[[#This Row],[Ticker]]&amp;"2]"))* INDIRECT("TabReg["&amp;TabCalc[[#This Row],[Ticker]]&amp;"1]") * INDIRECT("TabReg["&amp;TabCalc[[#This Row],[Ticker]]&amp;"2]") )*TabCalc[[#This Row],[Scale]]</f>
        <v>-171651.15899999999</v>
      </c>
      <c r="DI67" s="87">
        <f ca="1"/>
        <v>45308.23</v>
      </c>
      <c r="DJ67" s="90">
        <f t="shared" ref="DJ67:DJ96" ca="1" si="6">DN67/ABS(DL67)</f>
        <v>-0.88481659183128314</v>
      </c>
      <c r="DK67" t="str">
        <f ca="1">_xlfn.XLOOKUP(DI67,TabCalc[Column1],TabCalc[Ticker])</f>
        <v>OXY</v>
      </c>
      <c r="DL67" s="87">
        <f ca="1">_xlfn.XLOOKUP(DK67,TabCalc[Ticker],TabCalc[ValueBegin])</f>
        <v>-78617</v>
      </c>
      <c r="DM67" s="87">
        <f ca="1">_xlfn.XLOOKUP(DK67,TabCalc[Ticker],TabCalc[M_V])</f>
        <v>164757.20000000001</v>
      </c>
      <c r="DN67" s="87">
        <f ca="1">_xlfn.XLOOKUP(DK67,TabCalc[Ticker],TabCalc[GL])</f>
        <v>-69561.625999999989</v>
      </c>
      <c r="DO67" s="90"/>
      <c r="DP67" s="90"/>
      <c r="DQ67" s="88" t="s">
        <v>63</v>
      </c>
      <c r="DR67" s="81">
        <v>200000</v>
      </c>
      <c r="DS67" s="315">
        <v>-166</v>
      </c>
      <c r="DU67" s="82">
        <v>373980</v>
      </c>
      <c r="DV67" s="82">
        <f ca="1">DU67-TabCalc[[#This Row],[M_V]]</f>
        <v>7140</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217700</v>
      </c>
      <c r="G68" s="82">
        <f ca="1">IFERROR(TabCalc[[#This Row],[SB]]-TabCalc[[#This Row],[SST]],TabCalc[[#This Row],[SB]])</f>
        <v>250</v>
      </c>
      <c r="H68" s="532" t="str">
        <f ca="1">[1]!RTData[[#This Row],[Ticker_Symbol]]</f>
        <v>SAFASML</v>
      </c>
      <c r="I68" s="383">
        <f ca="1">_xlfn.XLOOKUP(TabCalc[[#This Row],[Ticker]],[1]!RTData[Ticker_Symbol],[1]!RTData[M-Price])</f>
        <v>870.8</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-2.7365E-2</v>
      </c>
      <c r="N68" s="1077">
        <v>0</v>
      </c>
      <c r="O68" s="899">
        <f>TabCalc[[#This Row],[Up20]]-1+TabCalc[[#This Row],[Up20]]</f>
        <v>-1</v>
      </c>
      <c r="P68" s="899">
        <f>TabCalc[[#This Row],[Up20]]-TabCalc[[#This Row],[Up150]]</f>
        <v>-0.33333333333333331</v>
      </c>
      <c r="Q68" s="899">
        <v>0.33333333333333331</v>
      </c>
      <c r="R68" s="899">
        <f>TabCalc[[#This Row],[Up150]]-1+TabCalc[[#This Row],[Up150]]</f>
        <v>-0.33333333333333343</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0.10176758331891843</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19298.299999999996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10464.999999999998</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-11372.399999999994</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-17433.239999999998</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-7050</v>
      </c>
      <c r="AQ68" s="334">
        <f ca="1">_xlfn.LET(_xlpm.MVToday,DataShift!AV568,         _xlpm.MVY,DataShift!AU568,        _xlpm.MVYY, DataShift!AT568,                                IF(_xlpm.MVToday=_xlpm.MVY,_xlpm.MVY-_xlpm.MVYY,_xlpm.MVToday-_xlpm.MVY))</f>
        <v>-876.04999999998836</v>
      </c>
      <c r="AR68" s="334">
        <f ca="1">_xlfn.LET(_xlpm.MVToday,DataShift!AV568,         _xlpm.MVY,DataShift!AU568,        _xlpm.MVYY, DataShift!AT568,         _xlpm.MVYYY, DataShift!AS568,                      IF(_xlpm.MVToday=_xlpm.MVY,      _xlpm.MVYY-_xlpm.MVYYY,          _xlpm.MVY-_xlpm.MVYY))</f>
        <v>126</v>
      </c>
      <c r="AS68" s="984">
        <f ca="1">TabCalc[[#This Row],[Y]]/TabCalc[[#This Row],[M]]</f>
        <v>1.08165280202113</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-0.4382720940213648</v>
      </c>
      <c r="AY68" s="82">
        <f t="shared" ca="1" si="5"/>
        <v>0</v>
      </c>
      <c r="AZ68" s="90">
        <f ca="1">_xlfn.XLOOKUP(TabCalc[[#This Row],[Ticker]],[1]!RTData[Ticker_Symbol],[1]!RTData[V/VA])</f>
        <v>1.4227731762002704</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1.4227731762002704</v>
      </c>
      <c r="BC68" s="87" cm="1">
        <f t="array" aca="1" ref="BC68" ca="1">INDEX(TabReg[], 1, _xlfn.XMATCH(TabCalc[[#This Row],[Ticker]]&amp;1, TabReg[#Headers], 0))</f>
        <v>160</v>
      </c>
      <c r="BD68" s="159">
        <f ca="1">TabCalc[[#This Row],[Nbegin]]*TabCalc[[#This Row],[M]]*TabCalc[[#This Row],[Scale]]+TabCalc[[#This Row],[ValueBegin]]</f>
        <v>39641.600000000006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118013.6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176255.55800000002</v>
      </c>
      <c r="BM68" s="159">
        <f ca="1">IF(        OR( TabCalc[[#This Row],[GL]]&gt;ABS(TabCalc[[#This Row],[EfCost]]),TabCalc[[#This Row],[NAfter]]=0),             TabCalc[[#This Row],[GL]],     0)</f>
        <v>176255.55800000002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45968.708333333336</v>
      </c>
      <c r="BT68" s="175">
        <f ca="1">(TabCalc[[#This Row],[ValueBegin]]+(TabCalc[[#This Row],[M]]-TabCalc[[#This Row],[A]])*TabCalc[[#This Row],[NAfter]])*TabCalc[[#This Row],[Scale]]</f>
        <v>-45579.638000000021</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54106.761999999973</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18.136312524937434</v>
      </c>
      <c r="CX68" s="405">
        <f ca="1">TabCalc[[#This Row],[ntoSell]]*TabCalc[[#This Row],[M]]</f>
        <v>15793.100946715516</v>
      </c>
      <c r="CY68" s="398">
        <f ca="1">_xlfn.LET(_xlpm.nToSell,IF(TabCalc[[#This Row],[M]]-TabCalc[[#This Row],[A]]&lt;=0,"",INT(DesiredSaleGain/(TabCalc[[#This Row],[M]]-IF(TabCalc[[#This Row],[E]]&gt;0,0,TabCalc[[#This Row],[A]])))),IF(_xlpm.nToSell&lt;=TabCalc[[#This Row],[NAfter]],_xlpm.nToSell,0))</f>
        <v>23</v>
      </c>
      <c r="CZ68" s="336">
        <f ca="1">IFERROR(TabCalc[[#This Row],[NMA]]*TabCalc[[#This Row],[M]],"")</f>
        <v>20028.399999999998</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54106.761999999973</v>
      </c>
      <c r="DB68" s="90">
        <f ca="1">IFERROR((TabCalc[[#This Row],[M]]+TabCalc[[#This Row],[L_Bp]])/ABS(TabCalc[[#This Row],[L_Bp]])/(TODAY()-TabCalc[[#This Row],[L_Bdate]])*360,"")</f>
        <v>1.7932602321826103</v>
      </c>
      <c r="DC68" s="310">
        <f ca="1">MEDIAN(DataShift!F767:Z767)</f>
        <v>1.333E-3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139328</v>
      </c>
      <c r="DF68" s="87" cm="1">
        <f t="array" aca="1" ref="DF68" ca="1">SUMPRODUCT(ISNUMBER(INDIRECT("TabReg["&amp;TabCalc[[#This Row],[Ticker]]&amp;"2]"))* INDIRECT("TabReg["&amp;TabCalc[[#This Row],[Ticker]]&amp;"1]") * INDIRECT("TabReg["&amp;TabCalc[[#This Row],[Ticker]]&amp;"2]") )*TabCalc[[#This Row],[Scale]]</f>
        <v>-41444.441999999995</v>
      </c>
      <c r="DI68" s="87">
        <f ca="1"/>
        <v>38755.5</v>
      </c>
      <c r="DJ68" s="90">
        <f t="shared" ca="1" si="6"/>
        <v>0.31853541732810253</v>
      </c>
      <c r="DK68" t="str">
        <f ca="1">_xlfn.XLOOKUP(DI68,TabCalc[Column1],TabCalc[Ticker])</f>
        <v>DIS</v>
      </c>
      <c r="DL68" s="87">
        <f ca="1">_xlfn.XLOOKUP(DK68,TabCalc[Ticker],TabCalc[ValueBegin])</f>
        <v>-59749.990000000005</v>
      </c>
      <c r="DM68" s="87">
        <f ca="1">_xlfn.XLOOKUP(DK68,TabCalc[Ticker],TabCalc[M_V])</f>
        <v>110730</v>
      </c>
      <c r="DN68" s="87">
        <f ca="1">_xlfn.XLOOKUP(DK68,TabCalc[Ticker],TabCalc[GL])</f>
        <v>19032.487999999954</v>
      </c>
      <c r="DO68" s="90"/>
      <c r="DP68" s="90"/>
      <c r="DQ68" s="88" t="s">
        <v>64</v>
      </c>
      <c r="DR68" s="81">
        <v>850</v>
      </c>
      <c r="DS68" s="315">
        <v>-49.61</v>
      </c>
      <c r="DU68" s="82">
        <v>229500</v>
      </c>
      <c r="DV68" s="82">
        <f ca="1">DU68-TabCalc[[#This Row],[M_V]]</f>
        <v>11800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244750</v>
      </c>
      <c r="G69" s="82">
        <f ca="1">IFERROR(TabCalc[[#This Row],[SB]]-TabCalc[[#This Row],[SST]],TabCalc[[#This Row],[SB]])</f>
        <v>110000</v>
      </c>
      <c r="H69" s="532" t="str">
        <f ca="1">[1]!RTData[[#This Row],[Ticker_Symbol]]</f>
        <v>SAFDDD</v>
      </c>
      <c r="I69" s="383">
        <f ca="1">_xlfn.XLOOKUP(TabCalc[[#This Row],[Ticker]],[1]!RTData[Ticker_Symbol],[1]!RTData[M-Price])</f>
        <v>2.2250000000000001</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-1.1110999999999999E-2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8.8624136781616916E-2</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3,562 = $ 7,925</v>
      </c>
      <c r="Z69" s="211">
        <f ca="1">MIN(TabCalc[[#This Row],[L_Bn]],TabCalc[[#This Row],[NAfter]])*(TabCalc[[#This Row],[M]]+TabCalc[[#This Row],[L_Bp]])*TabCalc[[#This Row],[Scale]]</f>
        <v>6216.0000000000009</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-11657.499999999998</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10285</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11279.999999999998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549.9999999999709</v>
      </c>
      <c r="AQ69" s="334">
        <f ca="1">_xlfn.LET(_xlpm.MVToday,DataShift!AV569,         _xlpm.MVY,DataShift!AU569,        _xlpm.MVYY, DataShift!AT569,                                IF(_xlpm.MVToday=_xlpm.MVY,_xlpm.MVY-_xlpm.MVYY,_xlpm.MVToday-_xlpm.MVY))</f>
        <v>1130.4000000000233</v>
      </c>
      <c r="AR69" s="334">
        <f ca="1">_xlfn.LET(_xlpm.MVToday,DataShift!AV569,         _xlpm.MVY,DataShift!AU569,        _xlpm.MVYY, DataShift!AT569,         _xlpm.MVYYY, DataShift!AS569,                      IF(_xlpm.MVToday=_xlpm.MVY,      _xlpm.MVYY-_xlpm.MVYYY,          _xlpm.MVY-_xlpm.MVYY))</f>
        <v>-9590.4000000000233</v>
      </c>
      <c r="AS69" s="984">
        <f ca="1">TabCalc[[#This Row],[Y]]/TabCalc[[#This Row],[M]]</f>
        <v>1.4606741573033708</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-0.14892178046672427</v>
      </c>
      <c r="AY69" s="82">
        <f t="shared" ref="AY69:AY96" ca="1" si="8">IF(G69&lt;C69,C69-G69,0)</f>
        <v>0</v>
      </c>
      <c r="AZ69" s="90">
        <f ca="1">_xlfn.XLOOKUP(TabCalc[[#This Row],[Ticker]],[1]!RTData[Ticker_Symbol],[1]!RTData[V/VA])</f>
        <v>0.54788075577674089</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0.54788075577674089</v>
      </c>
      <c r="BC69" s="87" cm="1">
        <f t="array" aca="1" ref="BC69" ca="1">INDEX(TabReg[], 1, _xlfn.XMATCH(TabCalc[[#This Row],[Ticker]]&amp;1, TabReg[#Headers], 0))</f>
        <v>850</v>
      </c>
      <c r="BD69" s="159">
        <f ca="1">TabCalc[[#This Row],[Nbegin]]*TabCalc[[#This Row],[M]]*TabCalc[[#This Row],[Scale]]+TabCalc[[#This Row],[ValueBegin]]</f>
        <v>-40277.25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202581.5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-137327.91999999998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5.07</v>
      </c>
      <c r="BR69" s="174" t="str">
        <f ca="1">IF(TabCalc[[#This Row],[EfCost]]+TabCalc[[#This Row],[M_V]]&lt;TabCalc[[#This Row],[NoT_GL]],"Pile","")</f>
        <v>Pile</v>
      </c>
      <c r="BS69" s="165">
        <f ca="1">_xlfn.XLOOKUP(TabCalc[[#This Row],[Ticker]],[1]!RTData[Ticker_Symbol],[1]!RTData[Last trade time])</f>
        <v>45968.870802858597</v>
      </c>
      <c r="BT69" s="175">
        <f ca="1">(TabCalc[[#This Row],[ValueBegin]]+(TabCalc[[#This Row],[M]]-TabCalc[[#This Row],[A]])*TabCalc[[#This Row],[NAfter]])*TabCalc[[#This Row],[Scale]]</f>
        <v>-158570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-116401.5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5347.5935828877</v>
      </c>
      <c r="CV69" s="404">
        <f ca="1">IF(TabCalc[[#This Row],[ntoBuy]]*TabCalc[[#This Row],[M]]&lt;=0,0,TabCalc[[#This Row],[ntoBuy]]*TabCalc[[#This Row],[M]])</f>
        <v>11898.395721925133</v>
      </c>
      <c r="CW69" s="404">
        <f ca="1">IF(TabCalc[[#This Row],[M]]&gt;ABS(TabCalc[[#This Row],[L_Bp]]),MIN(TabCalc[[#This Row],[NAfter]],DesiredSaleGain/(TabCalc[[#This Row],[M]]+TabCalc[[#This Row],[L_Bp]])),0)/TabCalc[[#This Row],[Scale]]</f>
        <v>16891.89189189189</v>
      </c>
      <c r="CX69" s="405">
        <f ca="1">TabCalc[[#This Row],[ntoSell]]*TabCalc[[#This Row],[M]]</f>
        <v>37584.459459459453</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-116401.5</v>
      </c>
      <c r="DB69" s="90">
        <f ca="1">IFERROR((TabCalc[[#This Row],[M]]+TabCalc[[#This Row],[L_Bp]])/ABS(TabCalc[[#This Row],[L_Bp]])/(TODAY()-TabCalc[[#This Row],[L_Bdate]])*360,"")</f>
        <v>0.31034301990319257</v>
      </c>
      <c r="DC69" s="310">
        <f ca="1">MEDIAN(DataShift!F768:Z768)</f>
        <v>6.2539999999999991E-3</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1891.25</v>
      </c>
      <c r="DF69" s="87" cm="1">
        <f t="array" aca="1" ref="DF69" ca="1">SUMPRODUCT(ISNUMBER(INDIRECT("TabReg["&amp;TabCalc[[#This Row],[Ticker]]&amp;"2]"))* INDIRECT("TabReg["&amp;TabCalc[[#This Row],[Ticker]]&amp;"1]") * INDIRECT("TabReg["&amp;TabCalc[[#This Row],[Ticker]]&amp;"2]") )*TabCalc[[#This Row],[Scale]]</f>
        <v>-382077.92</v>
      </c>
      <c r="DI69" s="87">
        <f ca="1"/>
        <v>37462.5</v>
      </c>
      <c r="DJ69" s="90">
        <f t="shared" ca="1" si="6"/>
        <v>-1.2339808591184764</v>
      </c>
      <c r="DK69" t="str">
        <f ca="1">_xlfn.XLOOKUP(DI69,TabCalc[Column1],TabCalc[Ticker])</f>
        <v>BMRA</v>
      </c>
      <c r="DL69" s="87">
        <f ca="1">_xlfn.XLOOKUP(DK69,TabCalc[Ticker],TabCalc[ValueBegin])</f>
        <v>-103548</v>
      </c>
      <c r="DM69" s="87">
        <f ca="1">_xlfn.XLOOKUP(DK69,TabCalc[Ticker],TabCalc[M_V])</f>
        <v>31218.75</v>
      </c>
      <c r="DN69" s="87">
        <f ca="1">_xlfn.XLOOKUP(DK69,TabCalc[Ticker],TabCalc[GL])</f>
        <v>-127776.25</v>
      </c>
      <c r="DO69" s="90"/>
      <c r="DP69" s="90"/>
      <c r="DQ69" s="88" t="s">
        <v>65</v>
      </c>
      <c r="DR69" s="81">
        <v>2000</v>
      </c>
      <c r="DS69" s="315">
        <v>-157.13999999999999</v>
      </c>
      <c r="DU69" s="82">
        <v>288750</v>
      </c>
      <c r="DV69" s="82">
        <f ca="1">DU69-TabCalc[[#This Row],[M_V]]</f>
        <v>44000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132876</v>
      </c>
      <c r="G70" s="82">
        <f ca="1">IFERROR(TabCalc[[#This Row],[SB]]-TabCalc[[#This Row],[SST]],TabCalc[[#This Row],[SB]])</f>
        <v>1200</v>
      </c>
      <c r="H70" s="532" t="str">
        <f ca="1">[1]!RTData[[#This Row],[Ticker_Symbol]]</f>
        <v>SAFDIS</v>
      </c>
      <c r="I70" s="383">
        <f ca="1">_xlfn.XLOOKUP(TabCalc[[#This Row],[Ticker]],[1]!RTData[Ticker_Symbol],[1]!RTData[M-Price])</f>
        <v>110.73</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2.1719999999999999E-3</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0.24748347563051293</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-1192.5</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1484.0000000000032</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4039.1999999999985</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6871.9999999999909</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456</v>
      </c>
      <c r="AQ70" s="334">
        <f ca="1">_xlfn.LET(_xlpm.MVToday,DataShift!AV570,         _xlpm.MVY,DataShift!AU570,        _xlpm.MVYY, DataShift!AT570,                                IF(_xlpm.MVToday=_xlpm.MVY,_xlpm.MVY-_xlpm.MVYY,_xlpm.MVToday-_xlpm.MVY))</f>
        <v>-6125</v>
      </c>
      <c r="AR70" s="334">
        <f ca="1">_xlfn.LET(_xlpm.MVToday,DataShift!AV570,         _xlpm.MVY,DataShift!AU570,        _xlpm.MVYY, DataShift!AT570,         _xlpm.MVYYY, DataShift!AS570,                      IF(_xlpm.MVToday=_xlpm.MVY,      _xlpm.MVYY-_xlpm.MVYYY,          _xlpm.MVY-_xlpm.MVYY))</f>
        <v>-2825</v>
      </c>
      <c r="AS70" s="984">
        <f ca="1">TabCalc[[#This Row],[Y]]/TabCalc[[#This Row],[M]]</f>
        <v>1.2108046599837441</v>
      </c>
      <c r="AT70" s="297" t="str" cm="1">
        <f t="array" aca="1" ref="AT70" ca="1">IFERROR(_xlfn.IFS(          TabCalc[[#This Row],[E]]&gt;0, "Free Trade",      TabCalc[[#This Row],[A]]&lt;MIN(TabCalc[[#This Row],[L_Sp]],TabCalc[[#This Row],[M]]), "Buy",            TabCalc[[#This Row],[M]]&lt;TabCalc[[#This Row],[L_Sp]],       "Refill",       TabCalc[[#This Row],[M]]&gt;TabCalc[[#This Row],[L_Sp]],"S_more"),"")</f>
        <v>Buy</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-0.85670605668387001</v>
      </c>
      <c r="AY70" s="82">
        <f t="shared" ca="1" si="8"/>
        <v>590</v>
      </c>
      <c r="AZ70" s="90">
        <f ca="1">_xlfn.XLOOKUP(TabCalc[[#This Row],[Ticker]],[1]!RTData[Ticker_Symbol],[1]!RTData[V/VA])</f>
        <v>0.86820077434090825</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0.86820077434090825</v>
      </c>
      <c r="BC70" s="87" cm="1">
        <f t="array" aca="1" ref="BC70" ca="1">INDEX(TabReg[], 1, _xlfn.XMATCH(TabCalc[[#This Row],[Ticker]]&amp;1, TabReg[#Headers], 0))</f>
        <v>1790</v>
      </c>
      <c r="BD70" s="159">
        <f ca="1">TabCalc[[#This Row],[Nbegin]]*TabCalc[[#This Row],[M]]*TabCalc[[#This Row],[Scale]]+TabCalc[[#This Row],[ValueBegin]]</f>
        <v>11098</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-54232.700000000012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36106.119999999981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129.62</v>
      </c>
      <c r="BR70" s="174" t="str">
        <f ca="1">IF(TabCalc[[#This Row],[EfCost]]+TabCalc[[#This Row],[M_V]]&lt;TabCalc[[#This Row],[NoT_GL]],"Pile","")</f>
        <v/>
      </c>
      <c r="BS70" s="165">
        <f ca="1">_xlfn.XLOOKUP(TabCalc[[#This Row],[Ticker]],[1]!RTData[Ticker_Symbol],[1]!RTData[Last trade time])</f>
        <v>45968.870786099222</v>
      </c>
      <c r="BT70" s="175">
        <f ca="1">(TabCalc[[#This Row],[ValueBegin]]+(TabCalc[[#This Row],[M]]-TabCalc[[#This Row],[A]])*TabCalc[[#This Row],[NAfter]])*TabCalc[[#This Row],[Scale]]</f>
        <v>-186880.80000000002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227.89999999999395</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408.49673202614395</v>
      </c>
      <c r="CV70" s="404">
        <f ca="1">IF(TabCalc[[#This Row],[ntoBuy]]*TabCalc[[#This Row],[M]]&lt;=0,0,TabCalc[[#This Row],[ntoBuy]]*TabCalc[[#This Row],[M]])</f>
        <v>45232.843137254924</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227.89999999999395</v>
      </c>
      <c r="DB70" s="90">
        <f ca="1">IFERROR((TabCalc[[#This Row],[M]]+TabCalc[[#This Row],[L_Bp]])/ABS(TabCalc[[#This Row],[L_Bp]])/(TODAY()-TabCalc[[#This Row],[L_Bdate]])*360,"")</f>
        <v>-0.22404407859798192</v>
      </c>
      <c r="DC70" s="310">
        <f ca="1">MEDIAN(DataShift!F769:Z769)</f>
        <v>-1.9380000000000001E-3</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198206.7</v>
      </c>
      <c r="DF70" s="87" cm="1">
        <f t="array" aca="1" ref="DF70" ca="1">SUMPRODUCT(ISNUMBER(INDIRECT("TabReg["&amp;TabCalc[[#This Row],[Ticker]]&amp;"2]"))* INDIRECT("TabReg["&amp;TabCalc[[#This Row],[Ticker]]&amp;"1]") * INDIRECT("TabReg["&amp;TabCalc[[#This Row],[Ticker]]&amp;"2]") )*TabCalc[[#This Row],[Scale]]</f>
        <v>-96769.880000000019</v>
      </c>
      <c r="DI70" s="87">
        <f ca="1"/>
        <v>35550</v>
      </c>
      <c r="DJ70" s="90">
        <f t="shared" ca="1" si="6"/>
        <v>4.6383366249725985E-2</v>
      </c>
      <c r="DK70" t="str">
        <f ca="1">_xlfn.XLOOKUP(DI70,TabCalc[Column1],TabCalc[Ticker])</f>
        <v>PROF</v>
      </c>
      <c r="DL70" s="87">
        <f ca="1">_xlfn.XLOOKUP(DK70,TabCalc[Ticker],TabCalc[ValueBegin])</f>
        <v>-91140</v>
      </c>
      <c r="DM70" s="87">
        <f ca="1">_xlfn.XLOOKUP(DK70,TabCalc[Ticker],TabCalc[M_V])</f>
        <v>23700</v>
      </c>
      <c r="DN70" s="87">
        <f ca="1">_xlfn.XLOOKUP(DK70,TabCalc[Ticker],TabCalc[GL])</f>
        <v>4227.3800000000265</v>
      </c>
      <c r="DO70" s="90"/>
      <c r="DP70" s="90"/>
      <c r="DQ70" s="88" t="s">
        <v>66</v>
      </c>
      <c r="DR70" s="82">
        <v>500</v>
      </c>
      <c r="DS70" s="315">
        <v>-68.847200000000043</v>
      </c>
      <c r="DU70" s="82">
        <v>133764</v>
      </c>
      <c r="DV70" s="82">
        <f ca="1">DU70-TabCalc[[#This Row],[M_V]]</f>
        <v>888</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70.66</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2.6438000000000003E-2</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0.24114307448682729</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-44053.19999999999</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-87999.199999999968</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-4400</v>
      </c>
      <c r="AR71" s="334">
        <f ca="1">_xlfn.LET(_xlpm.MVToday,DataShift!AV571,         _xlpm.MVY,DataShift!AU571,        _xlpm.MVYY, DataShift!AT571,         _xlpm.MVYYY, DataShift!AS571,                      IF(_xlpm.MVToday=_xlpm.MVY,      _xlpm.MVYY-_xlpm.MVYYY,          _xlpm.MVY-_xlpm.MVYY))</f>
        <v>-36850</v>
      </c>
      <c r="AS71" s="984">
        <f ca="1">TabCalc[[#This Row],[Y]]/TabCalc[[#This Row],[M]]</f>
        <v>1.0352936597792246</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-3.0005451316149605E-3</v>
      </c>
      <c r="AY71" s="82">
        <f t="shared" ca="1" si="8"/>
        <v>3900</v>
      </c>
      <c r="AZ71" s="90">
        <f ca="1">_xlfn.XLOOKUP(TabCalc[[#This Row],[Ticker]],[1]!RTData[Ticker_Symbol],[1]!RTData[V/VA])</f>
        <v>0.5369764209337996</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0.5369764209337996</v>
      </c>
      <c r="BC71" s="87" cm="1">
        <f t="array" aca="1" ref="BC71" ca="1">INDEX(TabReg[], 1, _xlfn.XMATCH(TabCalc[[#This Row],[Ticker]]&amp;1, TabReg[#Headers], 0))</f>
        <v>3900</v>
      </c>
      <c r="BD71" s="159">
        <f ca="1">TabCalc[[#This Row],[Nbegin]]*TabCalc[[#This Row],[M]]*TabCalc[[#This Row],[Scale]]+TabCalc[[#This Row],[ValueBegin]]</f>
        <v>122226</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45968.870778610937</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0.45181532944867769</v>
      </c>
      <c r="DC71" s="310">
        <f ca="1">MEDIAN(DataShift!F770:Z770)</f>
        <v>-1.1110999999999999E-2</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275574</v>
      </c>
      <c r="DF71" s="87" cm="1">
        <f t="array" aca="1" ref="DF71" ca="1">SUMPRODUCT(ISNUMBER(INDIRECT("TabReg["&amp;TabCalc[[#This Row],[Ticker]]&amp;"2]"))* INDIRECT("TabReg["&amp;TabCalc[[#This Row],[Ticker]]&amp;"1]") * INDIRECT("TabReg["&amp;TabCalc[[#This Row],[Ticker]]&amp;"2]") )*TabCalc[[#This Row],[Scale]]</f>
        <v>62342.085000000006</v>
      </c>
      <c r="DI71" s="87">
        <f ca="1"/>
        <v>34850</v>
      </c>
      <c r="DJ71" s="90">
        <f t="shared" ca="1" si="6"/>
        <v>1.4132410780669142</v>
      </c>
      <c r="DK71" t="str">
        <f ca="1">_xlfn.XLOOKUP(DI71,TabCalc[Column1],TabCalc[Ticker])</f>
        <v>BLDP</v>
      </c>
      <c r="DL71" s="87">
        <f ca="1">_xlfn.XLOOKUP(DK71,TabCalc[Ticker],TabCalc[ValueBegin])</f>
        <v>-26900</v>
      </c>
      <c r="DM71" s="87">
        <f ca="1">_xlfn.XLOOKUP(DK71,TabCalc[Ticker],TabCalc[M_V])</f>
        <v>69700</v>
      </c>
      <c r="DN71" s="87">
        <f ca="1">_xlfn.XLOOKUP(DK71,TabCalc[Ticker],TabCalc[GL])</f>
        <v>38016.18499999999</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366.2</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-0.115673</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3.7686510293587439E-2</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-64279.999999999971</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-38474.999999999993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684</v>
      </c>
      <c r="AR72" s="334">
        <f ca="1">_xlfn.LET(_xlpm.MVToday,DataShift!AV572,         _xlpm.MVY,DataShift!AU572,        _xlpm.MVYY, DataShift!AT572,         _xlpm.MVYYY, DataShift!AS572,                      IF(_xlpm.MVToday=_xlpm.MVY,      _xlpm.MVYY-_xlpm.MVYYY,          _xlpm.MVY-_xlpm.MVYY))</f>
        <v>-1416</v>
      </c>
      <c r="AS72" s="984">
        <f ca="1">TabCalc[[#This Row],[Y]]/TabCalc[[#This Row],[M]]</f>
        <v>1.2673244128891317</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-5.5200931208260364</v>
      </c>
      <c r="AY72" s="82">
        <f t="shared" ca="1" si="8"/>
        <v>200000</v>
      </c>
      <c r="AZ72" s="90">
        <f ca="1">_xlfn.XLOOKUP(TabCalc[[#This Row],[Ticker]],[1]!RTData[Ticker_Symbol],[1]!RTData[V/VA])</f>
        <v>3.8509130711539581</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3.8509130711539581</v>
      </c>
      <c r="BC72" s="87" cm="1">
        <f t="array" aca="1" ref="BC72" ca="1">INDEX(TabReg[], 1, _xlfn.XMATCH(TabCalc[[#This Row],[Ticker]]&amp;1, TabReg[#Headers], 0))</f>
        <v>200000</v>
      </c>
      <c r="BD72" s="159">
        <f ca="1">TabCalc[[#This Row],[Nbegin]]*TabCalc[[#This Row],[M]]*TabCalc[[#This Row],[Scale]]+TabCalc[[#This Row],[ValueBegin]]</f>
        <v>400400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45968.676040161721</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0.77877699323572791</v>
      </c>
      <c r="DC72" s="310">
        <f ca="1">MEDIAN(DataShift!F771:Z771)</f>
        <v>-5.306E-4</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732400</v>
      </c>
      <c r="DF72" s="87" cm="1">
        <f t="array" aca="1" ref="DF72" ca="1">SUMPRODUCT(ISNUMBER(INDIRECT("TabReg["&amp;TabCalc[[#This Row],[Ticker]]&amp;"2]"))* INDIRECT("TabReg["&amp;TabCalc[[#This Row],[Ticker]]&amp;"1]") * INDIRECT("TabReg["&amp;TabCalc[[#This Row],[Ticker]]&amp;"2]") )*TabCalc[[#This Row],[Scale]]</f>
        <v>177515</v>
      </c>
      <c r="DI72" s="87">
        <f ca="1"/>
        <v>31687.5</v>
      </c>
      <c r="DJ72" s="90">
        <f t="shared" ca="1" si="6"/>
        <v>-0.16587146139024753</v>
      </c>
      <c r="DK72" t="str">
        <f ca="1">_xlfn.XLOOKUP(DI72,TabCalc[Column1],TabCalc[Ticker])</f>
        <v>PFE</v>
      </c>
      <c r="DL72" s="87">
        <f ca="1">_xlfn.XLOOKUP(DK72,TabCalc[Ticker],TabCalc[ValueBegin])</f>
        <v>-53976.000000000007</v>
      </c>
      <c r="DM72" s="87">
        <f ca="1">_xlfn.XLOOKUP(DK72,TabCalc[Ticker],TabCalc[M_V])</f>
        <v>39000</v>
      </c>
      <c r="DN72" s="87">
        <f ca="1">_xlfn.XLOOKUP(DK72,TabCalc[Ticker],TabCalc[GL])</f>
        <v>-8953.0780000000013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122625</v>
      </c>
      <c r="G73" s="82">
        <f ca="1">IFERROR(TabCalc[[#This Row],[SB]]-TabCalc[[#This Row],[SST]],TabCalc[[#This Row],[SB]])</f>
        <v>5000</v>
      </c>
      <c r="H73" s="532" t="str">
        <f ca="1">[1]!RTData[[#This Row],[Ticker_Symbol]]</f>
        <v>SAFMRNA</v>
      </c>
      <c r="I73" s="383">
        <f ca="1">_xlfn.XLOOKUP(TabCalc[[#This Row],[Ticker]],[1]!RTData[Ticker_Symbol],[1]!RTData[M-Price])</f>
        <v>24.524999999999999</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8.0149999999999996E-3</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-0.13541102749036005</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6,793 = $ 166,598</v>
      </c>
      <c r="Z73" s="211">
        <f ca="1">MIN(TabCalc[[#This Row],[L_Bn]],TabCalc[[#This Row],[NAfter]])*(TabCalc[[#This Row],[M]]+TabCalc[[#This Row],[L_Bp]])*TabCalc[[#This Row],[Scale]]</f>
        <v>-42862.800000000017</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-48016.700000000004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19914.999999999996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30574.244999999999</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3275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1.6432212028542303</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-3.9718610010800743</v>
      </c>
      <c r="AY73" s="82">
        <f t="shared" ca="1" si="8"/>
        <v>0</v>
      </c>
      <c r="AZ73" s="90">
        <f ca="1">_xlfn.XLOOKUP(TabCalc[[#This Row],[Ticker]],[1]!RTData[Ticker_Symbol],[1]!RTData[V/VA])</f>
        <v>0.77200431078922915</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0.77200431078922915</v>
      </c>
      <c r="BC73" s="87" cm="1">
        <f t="array" aca="1" ref="BC73" ca="1">INDEX(TabReg[], 1, _xlfn.XMATCH(TabCalc[[#This Row],[Ticker]]&amp;1, TabReg[#Headers], 0))</f>
        <v>500</v>
      </c>
      <c r="BD73" s="159">
        <f ca="1">TabCalc[[#This Row],[Nbegin]]*TabCalc[[#This Row],[M]]*TabCalc[[#This Row],[Scale]]+TabCalc[[#This Row],[ValueBegin]]</f>
        <v>-50912.5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59450</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-175791.99599999998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42.26</v>
      </c>
      <c r="BR73" s="174" t="str">
        <f ca="1">IF(TabCalc[[#This Row],[EfCost]]+TabCalc[[#This Row],[M_V]]&lt;TabCalc[[#This Row],[NoT_GL]],"Pile","")</f>
        <v>Pile</v>
      </c>
      <c r="BS73" s="165">
        <f ca="1">_xlfn.XLOOKUP(TabCalc[[#This Row],[Ticker]],[1]!RTData[Ticker_Symbol],[1]!RTData[Last trade time])</f>
        <v>45968.870799733595</v>
      </c>
      <c r="BT73" s="175">
        <f ca="1">(TabCalc[[#This Row],[ValueBegin]]+(TabCalc[[#This Row],[M]]-TabCalc[[#This Row],[A]])*TabCalc[[#This Row],[NAfter]])*TabCalc[[#This Row],[Scale]]</f>
        <v>-249220.57550000004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-186045.57550000004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50.213406979663574</v>
      </c>
      <c r="CV73" s="404">
        <f ca="1">IF(TabCalc[[#This Row],[ntoBuy]]*TabCalc[[#This Row],[M]]&lt;=0,0,TabCalc[[#This Row],[ntoBuy]]*TabCalc[[#This Row],[M]])</f>
        <v>1231.4838061762491</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-186045.57550000004</v>
      </c>
      <c r="DB73" s="90">
        <f ca="1">IFERROR((TabCalc[[#This Row],[M]]+TabCalc[[#This Row],[L_Bp]])/ABS(TabCalc[[#This Row],[L_Bp]])/(TODAY()-TabCalc[[#This Row],[L_Bdate]])*360,"")</f>
        <v>-0.45855475856153244</v>
      </c>
      <c r="DC73" s="310">
        <f ca="1">MEDIAN(DataShift!F772:Z772)</f>
        <v>7.0630000000000007E-3</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12262.5</v>
      </c>
      <c r="DF73" s="87" cm="1">
        <f t="array" aca="1" ref="DF73" ca="1">SUMPRODUCT(ISNUMBER(INDIRECT("TabReg["&amp;TabCalc[[#This Row],[Ticker]]&amp;"2]"))* INDIRECT("TabReg["&amp;TabCalc[[#This Row],[Ticker]]&amp;"1]") * INDIRECT("TabReg["&amp;TabCalc[[#This Row],[Ticker]]&amp;"2]") )*TabCalc[[#This Row],[Scale]]</f>
        <v>-298416.99599999998</v>
      </c>
      <c r="DI73" s="87">
        <f ca="1"/>
        <v>29484</v>
      </c>
      <c r="DJ73" s="90">
        <f t="shared" ca="1" si="6"/>
        <v>-1.422943267357281</v>
      </c>
      <c r="DK73" t="str">
        <f ca="1">_xlfn.XLOOKUP(DI73,TabCalc[Column1],TabCalc[Ticker])</f>
        <v>XYZ</v>
      </c>
      <c r="DL73" s="87">
        <f ca="1">_xlfn.XLOOKUP(DK73,TabCalc[Ticker],TabCalc[ValueBegin])</f>
        <v>-118300.5</v>
      </c>
      <c r="DM73" s="87">
        <f ca="1">_xlfn.XLOOKUP(DK73,TabCalc[Ticker],TabCalc[M_V])</f>
        <v>39312</v>
      </c>
      <c r="DN73" s="87">
        <f ca="1">_xlfn.XLOOKUP(DK73,TabCalc[Ticker],TabCalc[GL])</f>
        <v>-168334.90000000002</v>
      </c>
      <c r="DO73" s="90"/>
      <c r="DP73" s="90"/>
      <c r="DQ73" s="88" t="s">
        <v>69</v>
      </c>
      <c r="DR73" s="82">
        <v>1790</v>
      </c>
      <c r="DS73" s="315">
        <v>-104.53</v>
      </c>
      <c r="DU73" s="82">
        <v>118750</v>
      </c>
      <c r="DV73" s="82">
        <f ca="1">DU73-TabCalc[[#This Row],[M_V]]</f>
        <v>-3875</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190788</v>
      </c>
      <c r="G74" s="82">
        <f ca="1">IFERROR(TabCalc[[#This Row],[SB]]-TabCalc[[#This Row],[SST]],TabCalc[[#This Row],[SB]])</f>
        <v>120000</v>
      </c>
      <c r="H74" s="532" t="str">
        <f ca="1">[1]!RTData[[#This Row],[Ticker_Symbol]]</f>
        <v>BLNK</v>
      </c>
      <c r="I74" s="383">
        <f ca="1">_xlfn.XLOOKUP(TabCalc[[#This Row],[Ticker]],[1]!RTData[Ticker_Symbol],[1]!RTData[M-Price])</f>
        <v>1.5899000000000001</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5.2914000000000003E-2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0.40821883057777325</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23116.000000000004</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-7001.9999999999973</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3841.199999999998</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-1957.2000000000021</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26388</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1.5095289011887538</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-0.13932685868634287</v>
      </c>
      <c r="AY74" s="82">
        <f t="shared" ca="1" si="8"/>
        <v>0</v>
      </c>
      <c r="AZ74" s="90">
        <f ca="1">_xlfn.XLOOKUP(TabCalc[[#This Row],[Ticker]],[1]!RTData[Ticker_Symbol],[1]!RTData[V/VA])</f>
        <v>0.47099359807750735</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0.47099359807750735</v>
      </c>
      <c r="BC74" s="87" cm="1">
        <f t="array" aca="1" ref="BC74" ca="1">INDEX(TabReg[], 1, _xlfn.XMATCH(TabCalc[[#This Row],[Ticker]]&amp;1, TabReg[#Headers], 0))</f>
        <v>30000</v>
      </c>
      <c r="BD74" s="159">
        <f ca="1">TabCalc[[#This Row],[Nbegin]]*TabCalc[[#This Row],[M]]*TabCalc[[#This Row],[Scale]]+TabCalc[[#This Row],[ValueBegin]]</f>
        <v>-163503</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-20412</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-253002.89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5.77</v>
      </c>
      <c r="BR74" s="174" t="str">
        <f ca="1">IF(TabCalc[[#This Row],[EfCost]]+TabCalc[[#This Row],[M_V]]&lt;TabCalc[[#This Row],[NoT_GL]],"Pile","")</f>
        <v>Pile</v>
      </c>
      <c r="BS74" s="165">
        <f ca="1">_xlfn.XLOOKUP(TabCalc[[#This Row],[Ticker]],[1]!RTData[Ticker_Symbol],[1]!RTData[Last trade time])</f>
        <v>45968.870746214845</v>
      </c>
      <c r="BT74" s="175">
        <f ca="1">(TabCalc[[#This Row],[ValueBegin]]+(TabCalc[[#This Row],[M]]-TabCalc[[#This Row],[A]])*TabCalc[[#This Row],[NAfter]])*TabCalc[[#This Row],[Scale]]</f>
        <v>-284026</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-72825.999999999985</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15620.118712902226</v>
      </c>
      <c r="CV74" s="404">
        <f ca="1">IF(TabCalc[[#This Row],[ntoBuy]]*TabCalc[[#This Row],[M]]&lt;=0,0,TabCalc[[#This Row],[ntoBuy]]*TabCalc[[#This Row],[M]])</f>
        <v>24834.426741643249</v>
      </c>
      <c r="CW74" s="404">
        <f ca="1">IF(TabCalc[[#This Row],[M]]&gt;ABS(TabCalc[[#This Row],[L_Bp]]),MIN(TabCalc[[#This Row],[NAfter]],DesiredSaleGain/(TabCalc[[#This Row],[M]]+TabCalc[[#This Row],[L_Bp]])),0)/TabCalc[[#This Row],[Scale]]</f>
        <v>8652.0159197092908</v>
      </c>
      <c r="CX74" s="405">
        <f ca="1">TabCalc[[#This Row],[ntoSell]]*TabCalc[[#This Row],[M]]</f>
        <v>13755.840110745803</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-72825.999999999985</v>
      </c>
      <c r="DB74" s="90">
        <f ca="1">IFERROR((TabCalc[[#This Row],[M]]+TabCalc[[#This Row],[L_Bp]])/ABS(TabCalc[[#This Row],[L_Bp]])/(TODAY()-TabCalc[[#This Row],[L_Bdate]])*360,"")</f>
        <v>1.5341572768568228</v>
      </c>
      <c r="DC74" s="310">
        <f ca="1">MEDIAN(DataShift!F773:Z773)</f>
        <v>-4.8999999999999998E-4</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47697</v>
      </c>
      <c r="DF74" s="87" cm="1">
        <f t="array" aca="1" ref="DF74" ca="1">SUMPRODUCT(ISNUMBER(INDIRECT("TabReg["&amp;TabCalc[[#This Row],[Ticker]]&amp;"2]"))* INDIRECT("TabReg["&amp;TabCalc[[#This Row],[Ticker]]&amp;"1]") * INDIRECT("TabReg["&amp;TabCalc[[#This Row],[Ticker]]&amp;"2]") )*TabCalc[[#This Row],[Scale]]</f>
        <v>-443790.89</v>
      </c>
      <c r="DI74" s="87">
        <f ca="1"/>
        <v>27720</v>
      </c>
      <c r="DJ74" s="90">
        <f t="shared" ca="1" si="6"/>
        <v>1.4051816824290695</v>
      </c>
      <c r="DK74" t="str">
        <f ca="1">_xlfn.XLOOKUP(DI74,TabCalc[Column1],TabCalc[Ticker])</f>
        <v>RIG</v>
      </c>
      <c r="DL74" s="87">
        <f ca="1">_xlfn.XLOOKUP(DK74,TabCalc[Ticker],TabCalc[ValueBegin])</f>
        <v>-20090</v>
      </c>
      <c r="DM74" s="87">
        <f ca="1">_xlfn.XLOOKUP(DK74,TabCalc[Ticker],TabCalc[M_V])</f>
        <v>170280</v>
      </c>
      <c r="DN74" s="87">
        <f ca="1">_xlfn.XLOOKUP(DK74,TabCalc[Ticker],TabCalc[GL])</f>
        <v>28230.100000000006</v>
      </c>
      <c r="DO74" s="90"/>
      <c r="DP74" s="90"/>
      <c r="DQ74" s="88" t="s">
        <v>70</v>
      </c>
      <c r="DR74" s="81">
        <v>310</v>
      </c>
      <c r="DS74" s="315">
        <v>-358.7</v>
      </c>
      <c r="DU74" s="82">
        <v>177600</v>
      </c>
      <c r="DV74" s="82">
        <f ca="1">DU74-TabCalc[[#This Row],[M_V]]</f>
        <v>-13188</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270844</v>
      </c>
      <c r="G75" s="82">
        <f ca="1">IFERROR(TabCalc[[#This Row],[SB]]-TabCalc[[#This Row],[SST]],TabCalc[[#This Row],[SB]])</f>
        <v>17000</v>
      </c>
      <c r="H75" s="532" t="str">
        <f ca="1">[1]!RTData[[#This Row],[Ticker_Symbol]]</f>
        <v>ENI</v>
      </c>
      <c r="I75" s="383">
        <f ca="1">_xlfn.XLOOKUP(TabCalc[[#This Row],[Ticker]],[1]!RTData[Ticker_Symbol],[1]!RTData[M-Price])</f>
        <v>15.932</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-1.003E-3</v>
      </c>
      <c r="N75" s="1077">
        <v>0</v>
      </c>
      <c r="O75" s="899">
        <f>TabCalc[[#This Row],[Up20]]-1+TabCalc[[#This Row],[Up20]]</f>
        <v>-1</v>
      </c>
      <c r="P75" s="899">
        <f>TabCalc[[#This Row],[Up20]]-TabCalc[[#This Row],[Up150]]</f>
        <v>-0.25</v>
      </c>
      <c r="Q75" s="899">
        <v>0.25</v>
      </c>
      <c r="R75" s="899">
        <f>TabCalc[[#This Row],[Up150]]-1+TabCalc[[#This Row],[Up150]]</f>
        <v>-0.5</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-0.11889184471377026</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10630.620000000012</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10109.880000000005</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-360.00000000000477</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-1443.9999999999991</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-1326</v>
      </c>
      <c r="AQ75" s="334">
        <f ca="1">_xlfn.LET(_xlpm.MVToday,DataShift!AV575,         _xlpm.MVY,DataShift!AU575,        _xlpm.MVYY, DataShift!AT575,                                IF(_xlpm.MVToday=_xlpm.MVY,_xlpm.MVY-_xlpm.MVYY,_xlpm.MVToday-_xlpm.MVY))</f>
        <v>2100</v>
      </c>
      <c r="AR75" s="334">
        <f ca="1">_xlfn.LET(_xlpm.MVToday,DataShift!AV575,         _xlpm.MVY,DataShift!AU575,        _xlpm.MVYY, DataShift!AT575,         _xlpm.MVYYY, DataShift!AS575,                      IF(_xlpm.MVToday=_xlpm.MVY,      _xlpm.MVYY-_xlpm.MVYYY,          _xlpm.MVY-_xlpm.MVYY))</f>
        <v>2725</v>
      </c>
      <c r="AS75" s="984">
        <f ca="1">TabCalc[[#This Row],[Y]]/TabCalc[[#This Row],[M]]</f>
        <v>1.0119715038915391</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-2.7011465507299201E-5</v>
      </c>
      <c r="AY75" s="82">
        <f t="shared" ca="1" si="8"/>
        <v>0</v>
      </c>
      <c r="AZ75" s="90">
        <f ca="1">_xlfn.XLOOKUP(TabCalc[[#This Row],[Ticker]],[1]!RTData[Ticker_Symbol],[1]!RTData[V/VA])</f>
        <v>0.59620640604938813</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0.59620640604938813</v>
      </c>
      <c r="BC75" s="87" cm="1">
        <f t="array" aca="1" ref="BC75" ca="1">INDEX(TabReg[], 1, _xlfn.XMATCH(TabCalc[[#This Row],[Ticker]]&amp;1, TabReg[#Headers], 0))</f>
        <v>7300</v>
      </c>
      <c r="BD75" s="159">
        <f ca="1">TabCalc[[#This Row],[Nbegin]]*TabCalc[[#This Row],[M]]*TabCalc[[#This Row],[Scale]]+TabCalc[[#This Row],[ValueBegin]]</f>
        <v>16439.600000000006</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170980</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34041.53600000008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45968.708333333336</v>
      </c>
      <c r="BT75" s="175">
        <f ca="1">(TabCalc[[#This Row],[ValueBegin]]+(TabCalc[[#This Row],[M]]-TabCalc[[#This Row],[A]])*TabCalc[[#This Row],[NAfter]])*TabCalc[[#This Row],[Scale]]</f>
        <v>-82159.5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17704.5</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4708.0979284369059</v>
      </c>
      <c r="CX75" s="405">
        <f ca="1">TabCalc[[#This Row],[ntoSell]]*TabCalc[[#This Row],[M]]</f>
        <v>75009.416195856786</v>
      </c>
      <c r="CY75" s="398">
        <f ca="1">_xlfn.LET(_xlpm.nToSell,IF(TabCalc[[#This Row],[M]]-TabCalc[[#This Row],[A]]&lt;=0,"",INT(DesiredSaleGain/(TabCalc[[#This Row],[M]]-IF(TabCalc[[#This Row],[E]]&gt;0,0,TabCalc[[#This Row],[A]])))),IF(_xlpm.nToSell&lt;=TabCalc[[#This Row],[NAfter]],_xlpm.nToSell,0))</f>
        <v>4801</v>
      </c>
      <c r="CZ75" s="336">
        <f ca="1">IFERROR(TabCalc[[#This Row],[NMA]]*TabCalc[[#This Row],[M]],"")</f>
        <v>76489.532000000007</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17704.5</v>
      </c>
      <c r="DB75" s="90">
        <f ca="1">IFERROR((TabCalc[[#This Row],[M]]+TabCalc[[#This Row],[L_Bp]])/ABS(TabCalc[[#This Row],[L_Bp]])/(TODAY()-TabCalc[[#This Row],[L_Bdate]])*360,"")</f>
        <v>0.52471075854686255</v>
      </c>
      <c r="DC75" s="310">
        <f ca="1">MEDIAN(DataShift!F774:Z774)</f>
        <v>-8.0000000000000002E-3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116303.6</v>
      </c>
      <c r="DF75" s="87" cm="1">
        <f t="array" aca="1" ref="DF75" ca="1">SUMPRODUCT(ISNUMBER(INDIRECT("TabReg["&amp;TabCalc[[#This Row],[Ticker]]&amp;"2]"))* INDIRECT("TabReg["&amp;TabCalc[[#This Row],[Ticker]]&amp;"1]") * INDIRECT("TabReg["&amp;TabCalc[[#This Row],[Ticker]]&amp;"2]") )*TabCalc[[#This Row],[Scale]]</f>
        <v>-236802.46399999992</v>
      </c>
      <c r="DI75" s="87">
        <f ca="1"/>
        <v>26215</v>
      </c>
      <c r="DJ75" s="90">
        <f t="shared" ca="1" si="6"/>
        <v>3.0012234394904485</v>
      </c>
      <c r="DK75" t="str">
        <f ca="1">_xlfn.XLOOKUP(DI75,TabCalc[Column1],TabCalc[Ticker])</f>
        <v>HPQ</v>
      </c>
      <c r="DL75" s="87">
        <f ca="1">_xlfn.XLOOKUP(DK75,TabCalc[Ticker],TabCalc[ValueBegin])</f>
        <v>-15700</v>
      </c>
      <c r="DM75" s="87">
        <f ca="1">_xlfn.XLOOKUP(DK75,TabCalc[Ticker],TabCalc[M_V])</f>
        <v>131075</v>
      </c>
      <c r="DN75" s="87">
        <f ca="1">_xlfn.XLOOKUP(DK75,TabCalc[Ticker],TabCalc[GL])</f>
        <v>47119.208000000042</v>
      </c>
      <c r="DO75" s="90"/>
      <c r="DP75" s="90"/>
      <c r="DQ75" s="88" t="s">
        <v>71</v>
      </c>
      <c r="DR75" s="82">
        <v>7000</v>
      </c>
      <c r="DS75" s="315">
        <v>-2.87</v>
      </c>
      <c r="DU75" s="82">
        <v>350020</v>
      </c>
      <c r="DV75" s="82">
        <f ca="1">DU75-TabCalc[[#This Row],[M_V]]</f>
        <v>79176</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141420</v>
      </c>
      <c r="G76" s="82">
        <f ca="1">IFERROR(TabCalc[[#This Row],[SB]]-TabCalc[[#This Row],[SST]],TabCalc[[#This Row],[SB]])</f>
        <v>30000</v>
      </c>
      <c r="H76" s="532" t="str">
        <f ca="1">[1]!RTData[[#This Row],[Ticker_Symbol]]</f>
        <v>EZJ</v>
      </c>
      <c r="I76" s="383">
        <f ca="1">_xlfn.XLOOKUP(TabCalc[[#This Row],[Ticker]],[1]!RTData[Ticker_Symbol],[1]!RTData[M-Price])</f>
        <v>471.4</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-1.4838E-2</v>
      </c>
      <c r="N76" s="1077">
        <v>0</v>
      </c>
      <c r="O76" s="899">
        <f>TabCalc[[#This Row],[Up20]]-1+TabCalc[[#This Row],[Up20]]</f>
        <v>-1</v>
      </c>
      <c r="P76" s="899">
        <f>TabCalc[[#This Row],[Up20]]-TabCalc[[#This Row],[Up150]]</f>
        <v>-0.22222222222222221</v>
      </c>
      <c r="Q76" s="899">
        <v>0.22222222222222221</v>
      </c>
      <c r="R76" s="899">
        <f>TabCalc[[#This Row],[Up150]]-1+TabCalc[[#This Row],[Up150]]</f>
        <v>-0.55555555555555558</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9.590201157039864E-2</v>
      </c>
      <c r="U76" s="1013">
        <v>30000</v>
      </c>
      <c r="V76" s="1013">
        <v>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4077.9999999999973</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-950</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2420.0000000000045</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13104.000000000013</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-2130</v>
      </c>
      <c r="AQ76" s="334">
        <f ca="1">_xlfn.LET(_xlpm.MVToday,DataShift!AV576,         _xlpm.MVY,DataShift!AU576,        _xlpm.MVYY, DataShift!AT576,                                IF(_xlpm.MVToday=_xlpm.MVY,_xlpm.MVY-_xlpm.MVYY,_xlpm.MVToday-_xlpm.MVY))</f>
        <v>10188</v>
      </c>
      <c r="AR76" s="334">
        <f ca="1">_xlfn.LET(_xlpm.MVToday,DataShift!AV576,         _xlpm.MVY,DataShift!AU576,        _xlpm.MVYY, DataShift!AT576,         _xlpm.MVYYY, DataShift!AS576,                      IF(_xlpm.MVToday=_xlpm.MVY,      _xlpm.MVYY-_xlpm.MVYYY,          _xlpm.MVY-_xlpm.MVYY))</f>
        <v>-16200</v>
      </c>
      <c r="AS76" s="984">
        <f ca="1">TabCalc[[#This Row],[Y]]/TabCalc[[#This Row],[M]]</f>
        <v>1.3284896054306323</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-12.577557516701859</v>
      </c>
      <c r="AY76" s="82">
        <f t="shared" ca="1" si="8"/>
        <v>0</v>
      </c>
      <c r="AZ76" s="90">
        <f ca="1">_xlfn.XLOOKUP(TabCalc[[#This Row],[Ticker]],[1]!RTData[Ticker_Symbol],[1]!RTData[V/VA])</f>
        <v>1.0236134740717646</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1.0236134740717646</v>
      </c>
      <c r="BC76" s="87" cm="1">
        <f t="array" aca="1" ref="BC76" ca="1">INDEX(TabReg[], 1, _xlfn.XMATCH(TabCalc[[#This Row],[Ticker]]&amp;1, TabReg[#Headers], 0))</f>
        <v>19440</v>
      </c>
      <c r="BD76" s="159">
        <f ca="1">TabCalc[[#This Row],[Nbegin]]*TabCalc[[#This Row],[M]]*TabCalc[[#This Row],[Scale]]+TabCalc[[#This Row],[ValueBegin]]</f>
        <v>-8087.0399999999936</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41692.800000000003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33469.403000000006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589.63</v>
      </c>
      <c r="BR76" s="174" t="str">
        <f ca="1">IF(TabCalc[[#This Row],[EfCost]]+TabCalc[[#This Row],[M_V]]&lt;TabCalc[[#This Row],[NoT_GL]],"Pile","")</f>
        <v/>
      </c>
      <c r="BS76" s="165">
        <f ca="1">_xlfn.XLOOKUP(TabCalc[[#This Row],[Ticker]],[1]!RTData[Ticker_Symbol],[1]!RTData[Last trade time])</f>
        <v>45968.652595601561</v>
      </c>
      <c r="BT76" s="175">
        <f ca="1">(TabCalc[[#This Row],[ValueBegin]]+(TabCalc[[#This Row],[M]]-TabCalc[[#This Row],[A]])*TabCalc[[#This Row],[NAfter]])*TabCalc[[#This Row],[Scale]]</f>
        <v>2130.727999999986</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312799.9999999986</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206.61157024793349</v>
      </c>
      <c r="CV76" s="404">
        <f ca="1">IF(TabCalc[[#This Row],[ntoBuy]]*TabCalc[[#This Row],[M]]&lt;=0,0,TabCalc[[#This Row],[ntoBuy]]*TabCalc[[#This Row],[M]])</f>
        <v>97396.694214875839</v>
      </c>
      <c r="CW76" s="404">
        <f ca="1">IF(TabCalc[[#This Row],[M]]&gt;ABS(TabCalc[[#This Row],[L_Bp]]),MIN(TabCalc[[#This Row],[NAfter]],DesiredSaleGain/(TabCalc[[#This Row],[M]]+TabCalc[[#This Row],[L_Bp]])),0)/TabCalc[[#This Row],[Scale]]</f>
        <v>24521.824423737144</v>
      </c>
      <c r="CX76" s="405">
        <f ca="1">TabCalc[[#This Row],[ntoSell]]*TabCalc[[#This Row],[M]]</f>
        <v>11559588.033349689</v>
      </c>
      <c r="CY76" s="398">
        <f ca="1">_xlfn.LET(_xlpm.nToSell,IF(TabCalc[[#This Row],[M]]-TabCalc[[#This Row],[A]]&lt;=0,"",INT(DesiredSaleGain/(TabCalc[[#This Row],[M]]-IF(TabCalc[[#This Row],[E]]&gt;0,0,TabCalc[[#This Row],[A]])))),IF(_xlpm.nToSell&lt;=TabCalc[[#This Row],[NAfter]],_xlpm.nToSell,0))</f>
        <v>479</v>
      </c>
      <c r="CZ76" s="336">
        <f ca="1">IFERROR(TabCalc[[#This Row],[NMA]]*TabCalc[[#This Row],[M]],"")</f>
        <v>225800.59999999998</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3127.9999999999859</v>
      </c>
      <c r="DB76" s="90">
        <f ca="1">IFERROR((TabCalc[[#This Row],[M]]+TabCalc[[#This Row],[L_Bp]])/ABS(TabCalc[[#This Row],[L_Bp]])/(TODAY()-TabCalc[[#This Row],[L_Bdate]])*360,"")</f>
        <v>0.3321524614368927</v>
      </c>
      <c r="DC76" s="310">
        <f ca="1">MEDIAN(DataShift!F775:Z775)</f>
        <v>-3.0435E-2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91640.16</v>
      </c>
      <c r="DF76" s="87" cm="1">
        <f t="array" aca="1" ref="DF76" ca="1">SUMPRODUCT(ISNUMBER(INDIRECT("TabReg["&amp;TabCalc[[#This Row],[Ticker]]&amp;"2]"))* INDIRECT("TabReg["&amp;TabCalc[[#This Row],[Ticker]]&amp;"1]") * INDIRECT("TabReg["&amp;TabCalc[[#This Row],[Ticker]]&amp;"2]") )*TabCalc[[#This Row],[Scale]]</f>
        <v>-107950.59699999999</v>
      </c>
      <c r="DI76" s="87">
        <f ca="1"/>
        <v>25290</v>
      </c>
      <c r="DJ76" s="90">
        <f t="shared" ca="1" si="6"/>
        <v>0.78991228305183403</v>
      </c>
      <c r="DK76" t="str">
        <f ca="1">_xlfn.XLOOKUP(DI76,TabCalc[Column1],TabCalc[Ticker])</f>
        <v>NVS</v>
      </c>
      <c r="DL76" s="87">
        <f ca="1">_xlfn.XLOOKUP(DK76,TabCalc[Ticker],TabCalc[ValueBegin])</f>
        <v>-17170</v>
      </c>
      <c r="DM76" s="87">
        <f ca="1">_xlfn.XLOOKUP(DK76,TabCalc[Ticker],TabCalc[M_V])</f>
        <v>0</v>
      </c>
      <c r="DN76" s="87">
        <f ca="1">_xlfn.XLOOKUP(DK76,TabCalc[Ticker],TabCalc[GL])</f>
        <v>13562.79389999999</v>
      </c>
      <c r="DO76" s="90"/>
      <c r="DP76" s="90"/>
      <c r="DQ76" s="88" t="s">
        <v>72</v>
      </c>
      <c r="DR76" s="81">
        <v>200</v>
      </c>
      <c r="DS76" s="315">
        <v>-85.85</v>
      </c>
      <c r="DU76" s="82">
        <v>144090</v>
      </c>
      <c r="DV76" s="82">
        <f ca="1">DU76-TabCalc[[#This Row],[M_V]]</f>
        <v>2670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13.205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1.8119E-2</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-0.30303882969541168</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-3555.0000000000014</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-3590</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-272</v>
      </c>
      <c r="AR77" s="334">
        <f ca="1">_xlfn.LET(_xlpm.MVToday,DataShift!AV577,         _xlpm.MVY,DataShift!AU577,        _xlpm.MVYY, DataShift!AT577,         _xlpm.MVYYY, DataShift!AS577,                      IF(_xlpm.MVToday=_xlpm.MVY,      _xlpm.MVYY-_xlpm.MVYYY,          _xlpm.MVY-_xlpm.MVYY))</f>
        <v>-340</v>
      </c>
      <c r="AS77" s="984">
        <f ca="1">TabCalc[[#This Row],[Y]]/TabCalc[[#This Row],[M]]</f>
        <v>0.92881484286255211</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5.1283493556175206E-3</v>
      </c>
      <c r="AY77" s="82">
        <f t="shared" ca="1" si="8"/>
        <v>12000</v>
      </c>
      <c r="AZ77" s="90">
        <f ca="1">_xlfn.XLOOKUP(TabCalc[[#This Row],[Ticker]],[1]!RTData[Ticker_Symbol],[1]!RTData[V/VA])</f>
        <v>0.50174709695241093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0.50174709695241093</v>
      </c>
      <c r="BC77" s="87" cm="1">
        <f t="array" aca="1" ref="BC77" ca="1">INDEX(TabReg[], 1, _xlfn.XMATCH(TabCalc[[#This Row],[Ticker]]&amp;1, TabReg[#Headers], 0))</f>
        <v>12000</v>
      </c>
      <c r="BD77" s="159">
        <f ca="1">TabCalc[[#This Row],[Nbegin]]*TabCalc[[#This Row],[M]]*TabCalc[[#This Row],[Scale]]+TabCalc[[#This Row],[ValueBegin]]</f>
        <v>-3420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45968.870775428128</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0.59068346855019715</v>
      </c>
      <c r="DC77" s="310">
        <f ca="1">MEDIAN(DataShift!F776:Z776)</f>
        <v>1.6130000000000001E-3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158460</v>
      </c>
      <c r="DF77" s="87" cm="1">
        <f t="array" aca="1" ref="DF77" ca="1">SUMPRODUCT(ISNUMBER(INDIRECT("TabReg["&amp;TabCalc[[#This Row],[Ticker]]&amp;"2]"))* INDIRECT("TabReg["&amp;TabCalc[[#This Row],[Ticker]]&amp;"1]") * INDIRECT("TabReg["&amp;TabCalc[[#This Row],[Ticker]]&amp;"2]") )*TabCalc[[#This Row],[Scale]]</f>
        <v>-12620</v>
      </c>
      <c r="DI77" s="87">
        <f ca="1"/>
        <v>24887.575000000001</v>
      </c>
      <c r="DJ77" s="90">
        <f t="shared" ca="1" si="6"/>
        <v>-0.55112187359408082</v>
      </c>
      <c r="DK77" t="str">
        <f ca="1">_xlfn.XLOOKUP(DI77,TabCalc[Column1],TabCalc[Ticker])</f>
        <v>DXC</v>
      </c>
      <c r="DL77" s="87">
        <f ca="1">_xlfn.XLOOKUP(DK77,TabCalc[Ticker],TabCalc[ValueBegin])</f>
        <v>-88065.18</v>
      </c>
      <c r="DM77" s="87">
        <f ca="1">_xlfn.XLOOKUP(DK77,TabCalc[Ticker],TabCalc[M_V])</f>
        <v>79050</v>
      </c>
      <c r="DN77" s="87">
        <f ca="1">_xlfn.XLOOKUP(DK77,TabCalc[Ticker],TabCalc[GL])</f>
        <v>-48534.646999999968</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54.64</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-2.0788999999999998E-2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4.71653980112446E-2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-47080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-63161.599999999999</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-2130</v>
      </c>
      <c r="AR78" s="334">
        <f ca="1">_xlfn.LET(_xlpm.MVToday,DataShift!AV578,         _xlpm.MVY,DataShift!AU578,        _xlpm.MVYY, DataShift!AT578,         _xlpm.MVYYY, DataShift!AS578,                      IF(_xlpm.MVToday=_xlpm.MVY,      _xlpm.MVYY-_xlpm.MVYYY,          _xlpm.MVY-_xlpm.MVYY))</f>
        <v>-1680</v>
      </c>
      <c r="AS78" s="984">
        <f ca="1">TabCalc[[#This Row],[Y]]/TabCalc[[#This Row],[M]]</f>
        <v>1.1838599926793558</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-0.28686136581434274</v>
      </c>
      <c r="AY78" s="82">
        <f t="shared" ca="1" si="8"/>
        <v>5000</v>
      </c>
      <c r="AZ78" s="90">
        <f ca="1">_xlfn.XLOOKUP(TabCalc[[#This Row],[Ticker]],[1]!RTData[Ticker_Symbol],[1]!RTData[V/VA])</f>
        <v>0.71645315441424917</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0.71645315441424917</v>
      </c>
      <c r="BC78" s="87" cm="1">
        <f t="array" aca="1" ref="BC78" ca="1">INDEX(TabReg[], 1, _xlfn.XMATCH(TabCalc[[#This Row],[Ticker]]&amp;1, TabReg[#Headers], 0))</f>
        <v>5000</v>
      </c>
      <c r="BD78" s="159">
        <f ca="1">TabCalc[[#This Row],[Nbegin]]*TabCalc[[#This Row],[M]]*TabCalc[[#This Row],[Scale]]+TabCalc[[#This Row],[ValueBegin]]</f>
        <v>175050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45968.708333333336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1.08740109727374</v>
      </c>
      <c r="DC78" s="310">
        <f ca="1">MEDIAN(DataShift!F777:Z777)</f>
        <v>-1.64E-3</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273200</v>
      </c>
      <c r="DF78" s="87" cm="1">
        <f t="array" aca="1" ref="DF78" ca="1">SUMPRODUCT(ISNUMBER(INDIRECT("TabReg["&amp;TabCalc[[#This Row],[Ticker]]&amp;"2]"))* INDIRECT("TabReg["&amp;TabCalc[[#This Row],[Ticker]]&amp;"1]") * INDIRECT("TabReg["&amp;TabCalc[[#This Row],[Ticker]]&amp;"2]") )*TabCalc[[#This Row],[Scale]]</f>
        <v>43473.079999999994</v>
      </c>
      <c r="DI78" s="87">
        <f ca="1"/>
        <v>24193.88</v>
      </c>
      <c r="DJ78" s="90">
        <f t="shared" ca="1" si="6"/>
        <v>-0.3965272796134714</v>
      </c>
      <c r="DK78" t="str">
        <f ca="1">_xlfn.XLOOKUP(DI78,TabCalc[Column1],TabCalc[Ticker])</f>
        <v>LNSR</v>
      </c>
      <c r="DL78" s="87">
        <f ca="1">_xlfn.XLOOKUP(DK78,TabCalc[Ticker],TabCalc[ValueBegin])</f>
        <v>-40423.409999999996</v>
      </c>
      <c r="DM78" s="87">
        <f ca="1">_xlfn.XLOOKUP(DK78,TabCalc[Ticker],TabCalc[M_V])</f>
        <v>0</v>
      </c>
      <c r="DN78" s="87">
        <f ca="1">_xlfn.XLOOKUP(DK78,TabCalc[Ticker],TabCalc[GL])</f>
        <v>-16028.984799999995</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139158</v>
      </c>
      <c r="G79" s="82">
        <f ca="1">IFERROR(TabCalc[[#This Row],[SB]]-TabCalc[[#This Row],[SST]],TabCalc[[#This Row],[SB]])</f>
        <v>900</v>
      </c>
      <c r="H79" s="532" t="str">
        <f ca="1">[1]!RTData[[#This Row],[Ticker_Symbol]]</f>
        <v>GNRC</v>
      </c>
      <c r="I79" s="383">
        <f ca="1">_xlfn.XLOOKUP(TabCalc[[#This Row],[Ticker]],[1]!RTData[Ticker_Symbol],[1]!RTData[M-Price])</f>
        <v>154.62</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5.3969999999999999E-3</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-0.20514238808313798</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-8561.9999999999982</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-2415.9999999999968</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7477.9999999999973</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21173.999999999996</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2106</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1.341809597723451</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-4.6017978248728166</v>
      </c>
      <c r="AY79" s="82">
        <f t="shared" ca="1" si="8"/>
        <v>0</v>
      </c>
      <c r="AZ79" s="90">
        <f ca="1">_xlfn.XLOOKUP(TabCalc[[#This Row],[Ticker]],[1]!RTData[Ticker_Symbol],[1]!RTData[V/VA])</f>
        <v>0.73573772972622398</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0.73573772972622398</v>
      </c>
      <c r="BC79" s="87" cm="1">
        <f t="array" aca="1" ref="BC79" ca="1">INDEX(TabReg[], 1, _xlfn.XMATCH(TabCalc[[#This Row],[Ticker]]&amp;1, TabReg[#Headers], 0))</f>
        <v>550</v>
      </c>
      <c r="BD79" s="159">
        <f ca="1">TabCalc[[#This Row],[Nbegin]]*TabCalc[[#This Row],[M]]*TabCalc[[#This Row],[Scale]]+TabCalc[[#This Row],[ValueBegin]]</f>
        <v>-19437</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34680</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18108.85000000002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207.44</v>
      </c>
      <c r="BR79" s="174" t="str">
        <f ca="1">IF(TabCalc[[#This Row],[EfCost]]+TabCalc[[#This Row],[M_V]]&lt;TabCalc[[#This Row],[NoT_GL]],"Pile","")</f>
        <v/>
      </c>
      <c r="BS79" s="165">
        <f ca="1">_xlfn.XLOOKUP(TabCalc[[#This Row],[Ticker]],[1]!RTData[Ticker_Symbol],[1]!RTData[Last trade time])</f>
        <v>45968.870756168748</v>
      </c>
      <c r="BT79" s="175">
        <f ca="1">(TabCalc[[#This Row],[ValueBegin]]+(TabCalc[[#This Row],[M]]-TabCalc[[#This Row],[A]])*TabCalc[[#This Row],[NAfter]])*TabCalc[[#This Row],[Scale]]</f>
        <v>-128163.99999999999</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-23685.999999999985</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133.72559507889815</v>
      </c>
      <c r="CV79" s="404">
        <f ca="1">IF(TabCalc[[#This Row],[ntoBuy]]*TabCalc[[#This Row],[M]]&lt;=0,0,TabCalc[[#This Row],[ntoBuy]]*TabCalc[[#This Row],[M]])</f>
        <v>20676.651511099233</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-23685.999999999985</v>
      </c>
      <c r="DB79" s="90">
        <f ca="1">IFERROR((TabCalc[[#This Row],[M]]+TabCalc[[#This Row],[L_Bp]])/ABS(TabCalc[[#This Row],[L_Bp]])/(TODAY()-TabCalc[[#This Row],[L_Bdate]])*360,"")</f>
        <v>-3.5059510810220567</v>
      </c>
      <c r="DC79" s="310">
        <f ca="1">MEDIAN(DataShift!F778:Z778)</f>
        <v>3.4780000000000002E-3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85041</v>
      </c>
      <c r="DF79" s="87" cm="1">
        <f t="array" aca="1" ref="DF79" ca="1">SUMPRODUCT(ISNUMBER(INDIRECT("TabReg["&amp;TabCalc[[#This Row],[Ticker]]&amp;"2]"))* INDIRECT("TabReg["&amp;TabCalc[[#This Row],[Ticker]]&amp;"1]") * INDIRECT("TabReg["&amp;TabCalc[[#This Row],[Ticker]]&amp;"2]") )*TabCalc[[#This Row],[Scale]]</f>
        <v>-121049.14999999998</v>
      </c>
      <c r="DI79" s="87">
        <f ca="1"/>
        <v>23478</v>
      </c>
      <c r="DJ79" s="90">
        <f t="shared" ca="1" si="6"/>
        <v>0.52377148025324116</v>
      </c>
      <c r="DK79" t="str">
        <f ca="1">_xlfn.XLOOKUP(DI79,TabCalc[Column1],TabCalc[Ticker])</f>
        <v>XOM</v>
      </c>
      <c r="DL79" s="87">
        <f ca="1">_xlfn.XLOOKUP(DK79,TabCalc[Ticker],TabCalc[ValueBegin])</f>
        <v>-19902</v>
      </c>
      <c r="DM79" s="87">
        <f ca="1">_xlfn.XLOOKUP(DK79,TabCalc[Ticker],TabCalc[M_V])</f>
        <v>58695</v>
      </c>
      <c r="DN79" s="87">
        <f ca="1">_xlfn.XLOOKUP(DK79,TabCalc[Ticker],TabCalc[GL])</f>
        <v>10424.100000000006</v>
      </c>
      <c r="DO79" s="90"/>
      <c r="DP79" s="90"/>
      <c r="DQ79" s="88" t="s">
        <v>75</v>
      </c>
      <c r="DR79" s="81">
        <v>7700</v>
      </c>
      <c r="DS79" s="315">
        <v>-12.54</v>
      </c>
      <c r="DU79" s="82">
        <v>140904</v>
      </c>
      <c r="DV79" s="82">
        <f ca="1">DU79-TabCalc[[#This Row],[M_V]]</f>
        <v>1746</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785.35500000000002</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-2.8249999999999998E-3</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-9.9984219068115915E-2</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-15345.500000000004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-29032.43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1.0209931814275073</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-7.116688360190161E-3</v>
      </c>
      <c r="AY80" s="82">
        <f t="shared" ca="1" si="8"/>
        <v>310</v>
      </c>
      <c r="AZ80" s="90">
        <f ca="1">_xlfn.XLOOKUP(TabCalc[[#This Row],[Ticker]],[1]!RTData[Ticker_Symbol],[1]!RTData[V/VA])</f>
        <v>0.79592194313113518</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0.79592194313113518</v>
      </c>
      <c r="BC80" s="87" cm="1">
        <f t="array" aca="1" ref="BC80" ca="1">INDEX(TabReg[], 1, _xlfn.XMATCH(TabCalc[[#This Row],[Ticker]]&amp;1, TabReg[#Headers], 0))</f>
        <v>310</v>
      </c>
      <c r="BD80" s="159">
        <f ca="1">TabCalc[[#This Row],[Nbegin]]*TabCalc[[#This Row],[M]]*TabCalc[[#This Row],[Scale]]+TabCalc[[#This Row],[ValueBegin]]</f>
        <v>132263.05000000002</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45968.870797128904</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0.35679439719572764</v>
      </c>
      <c r="DC80" s="310">
        <f ca="1">MEDIAN(DataShift!F779:Z779)</f>
        <v>-1.49E-3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243460.05000000002</v>
      </c>
      <c r="DF80" s="87" cm="1">
        <f t="array" aca="1" ref="DF80" ca="1">SUMPRODUCT(ISNUMBER(INDIRECT("TabReg["&amp;TabCalc[[#This Row],[Ticker]]&amp;"2]"))* INDIRECT("TabReg["&amp;TabCalc[[#This Row],[Ticker]]&amp;"1]") * INDIRECT("TabReg["&amp;TabCalc[[#This Row],[Ticker]]&amp;"2]") )*TabCalc[[#This Row],[Scale]]</f>
        <v>45917.739000000023</v>
      </c>
      <c r="DI80" s="87">
        <f ca="1"/>
        <v>22250</v>
      </c>
      <c r="DJ80" s="90">
        <f t="shared" ca="1" si="6"/>
        <v>0.21386639722863734</v>
      </c>
      <c r="DK80" t="str">
        <f ca="1">_xlfn.XLOOKUP(DI80,TabCalc[Column1],TabCalc[Ticker])</f>
        <v>MVEDDD</v>
      </c>
      <c r="DL80" s="87">
        <f ca="1">_xlfn.XLOOKUP(DK80,TabCalc[Ticker],TabCalc[ValueBegin])</f>
        <v>-43300</v>
      </c>
      <c r="DM80" s="87">
        <f ca="1">_xlfn.XLOOKUP(DK80,TabCalc[Ticker],TabCalc[M_V])</f>
        <v>22250</v>
      </c>
      <c r="DN80" s="87">
        <f ca="1">_xlfn.XLOOKUP(DK80,TabCalc[Ticker],TabCalc[GL])</f>
        <v>9260.4149999999972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19319.91</v>
      </c>
      <c r="G81" s="82">
        <f ca="1">IFERROR(TabCalc[[#This Row],[SB]]-TabCalc[[#This Row],[SST]],TabCalc[[#This Row],[SB]])</f>
        <v>15518</v>
      </c>
      <c r="H81" s="532" t="str">
        <f ca="1">[1]!RTData[[#This Row],[Ticker_Symbol]]</f>
        <v>LAZR</v>
      </c>
      <c r="I81" s="383">
        <f ca="1">_xlfn.XLOOKUP(TabCalc[[#This Row],[Ticker]],[1]!RTData[Ticker_Symbol],[1]!RTData[M-Price])</f>
        <v>1.2450000000000001</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8.2608999999999988E-2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7.6347973190736357E-2</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237,126 = $ 295,221</v>
      </c>
      <c r="Z81" s="211">
        <f ca="1">MIN(TabCalc[[#This Row],[L_Bn]],TabCalc[[#This Row],[NAfter]])*(TabCalc[[#This Row],[M]]+TabCalc[[#This Row],[L_Bp]])*TabCalc[[#This Row],[Scale]]</f>
        <v>-50116.165000000001</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-21598.01</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1319.0300000000025</v>
      </c>
      <c r="AQ81" s="334">
        <f ca="1">_xlfn.LET(_xlpm.MVToday,DataShift!AV581,         _xlpm.MVY,DataShift!AU581,        _xlpm.MVYY, DataShift!AT581,                                IF(_xlpm.MVToday=_xlpm.MVY,_xlpm.MVY-_xlpm.MVYY,_xlpm.MVToday-_xlpm.MVY))</f>
        <v>981</v>
      </c>
      <c r="AR81" s="334">
        <f ca="1">_xlfn.LET(_xlpm.MVToday,DataShift!AV581,         _xlpm.MVY,DataShift!AU581,        _xlpm.MVYY, DataShift!AT581,         _xlpm.MVYYY, DataShift!AS581,                      IF(_xlpm.MVToday=_xlpm.MVY,      _xlpm.MVYY-_xlpm.MVYYY,          _xlpm.MVY-_xlpm.MVYY))</f>
        <v>-5085</v>
      </c>
      <c r="AS81" s="984">
        <f ca="1">TabCalc[[#This Row],[Y]]/TabCalc[[#This Row],[M]]</f>
        <v>2.0080321285140559</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-0.63507032128514029</v>
      </c>
      <c r="AY81" s="82">
        <f t="shared" ca="1" si="8"/>
        <v>0</v>
      </c>
      <c r="AZ81" s="90">
        <f ca="1">_xlfn.XLOOKUP(TabCalc[[#This Row],[Ticker]],[1]!RTData[Ticker_Symbol],[1]!RTData[V/VA])</f>
        <v>0.35601021921338849</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0.35601021921338849</v>
      </c>
      <c r="BC81" s="87" cm="1">
        <f t="array" aca="1" ref="BC81" ca="1">INDEX(TabReg[], 1, _xlfn.XMATCH(TabCalc[[#This Row],[Ticker]]&amp;1, TabReg[#Headers], 0))</f>
        <v>5353</v>
      </c>
      <c r="BD81" s="159">
        <f ca="1">TabCalc[[#This Row],[Nbegin]]*TabCalc[[#This Row],[M]]*TabCalc[[#This Row],[Scale]]+TabCalc[[#This Row],[ValueBegin]]</f>
        <v>-245354.755</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-232699.33</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-317068.93</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45968.870737221878</v>
      </c>
      <c r="BT81" s="175">
        <f ca="1">(TabCalc[[#This Row],[ValueBegin]]+(TabCalc[[#This Row],[M]]-TabCalc[[#This Row],[A]])*TabCalc[[#This Row],[NAfter]])*TabCalc[[#This Row],[Scale]]</f>
        <v>-569088.16999999993</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-317068.93</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-317068.93</v>
      </c>
      <c r="DB81" s="90">
        <f ca="1">IFERROR((TabCalc[[#This Row],[M]]+TabCalc[[#This Row],[L_Bp]])/ABS(TabCalc[[#This Row],[L_Bp]])/(TODAY()-TabCalc[[#This Row],[L_Bdate]])*360,"")</f>
        <v>-1.0048571858410884</v>
      </c>
      <c r="DC81" s="310">
        <f ca="1">MEDIAN(DataShift!F780:Z780)</f>
        <v>3.444E-3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6664.4850000000006</v>
      </c>
      <c r="DF81" s="87" cm="1">
        <f t="array" aca="1" ref="DF81" ca="1">SUMPRODUCT(ISNUMBER(INDIRECT("TabReg["&amp;TabCalc[[#This Row],[Ticker]]&amp;"2]"))* INDIRECT("TabReg["&amp;TabCalc[[#This Row],[Ticker]]&amp;"1]") * INDIRECT("TabReg["&amp;TabCalc[[#This Row],[Ticker]]&amp;"2]") )*TabCalc[[#This Row],[Scale]]</f>
        <v>-336388.83999999997</v>
      </c>
      <c r="DI81" s="87">
        <f ca="1"/>
        <v>20970</v>
      </c>
      <c r="DJ81" s="90">
        <f t="shared" ca="1" si="6"/>
        <v>0.27022670862471709</v>
      </c>
      <c r="DK81" t="str">
        <f ca="1">_xlfn.XLOOKUP(DI81,TabCalc[Column1],TabCalc[Ticker])</f>
        <v>LUMN</v>
      </c>
      <c r="DL81" s="87">
        <f ca="1">_xlfn.XLOOKUP(DK81,TabCalc[Ticker],TabCalc[ValueBegin])</f>
        <v>-54753.100000000006</v>
      </c>
      <c r="DM81" s="87">
        <f ca="1">_xlfn.XLOOKUP(DK81,TabCalc[Ticker],TabCalc[M_V])</f>
        <v>104.85</v>
      </c>
      <c r="DN81" s="87">
        <f ca="1">_xlfn.XLOOKUP(DK81,TabCalc[Ticker],TabCalc[GL])</f>
        <v>14795.75</v>
      </c>
      <c r="DO81" s="90"/>
      <c r="DP81" s="90"/>
      <c r="DQ81" s="88" t="s">
        <v>77</v>
      </c>
      <c r="DR81" s="81">
        <v>19440</v>
      </c>
      <c r="DS81" s="315">
        <v>-513</v>
      </c>
      <c r="DU81" s="82">
        <v>20949.300000000003</v>
      </c>
      <c r="DV81" s="82">
        <f ca="1">DU81-TabCalc[[#This Row],[M_V]]</f>
        <v>1629.3900000000031</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38838</v>
      </c>
      <c r="G82" s="82">
        <f ca="1">IFERROR(TabCalc[[#This Row],[SB]]-TabCalc[[#This Row],[SST]],TabCalc[[#This Row],[SB]])</f>
        <v>1200</v>
      </c>
      <c r="H82" s="532" t="str">
        <f ca="1">[1]!RTData[[#This Row],[Ticker_Symbol]]</f>
        <v>LUV</v>
      </c>
      <c r="I82" s="383">
        <f ca="1">_xlfn.XLOOKUP(TabCalc[[#This Row],[Ticker]],[1]!RTData[Ticker_Symbol],[1]!RTData[M-Price])</f>
        <v>32.365000000000002</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2.7134000000000002E-2</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7.4339273895675476E-2</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2001.1200000000044</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-1770.0000000000018</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1537.829999999994</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-7650.0000000000055</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1446</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1.0527940676656882</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-4.523635008327624E-3</v>
      </c>
      <c r="AY82" s="82">
        <f t="shared" ca="1" si="8"/>
        <v>900</v>
      </c>
      <c r="AZ82" s="90">
        <f ca="1">_xlfn.XLOOKUP(TabCalc[[#This Row],[Ticker]],[1]!RTData[Ticker_Symbol],[1]!RTData[V/VA])</f>
        <v>0.64167079567908047</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0.64167079567908047</v>
      </c>
      <c r="BC82" s="87" cm="1">
        <f t="array" aca="1" ref="BC82" ca="1">INDEX(TabReg[], 1, _xlfn.XMATCH(TabCalc[[#This Row],[Ticker]]&amp;1, TabReg[#Headers], 0))</f>
        <v>2100</v>
      </c>
      <c r="BD82" s="159">
        <f ca="1">TabCalc[[#This Row],[Nbegin]]*TabCalc[[#This Row],[M]]*TabCalc[[#This Row],[Scale]]+TabCalc[[#This Row],[ValueBegin]]</f>
        <v>-25840.5</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-54969</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-18962.450000000004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79.23</v>
      </c>
      <c r="BR82" s="174" t="str">
        <f ca="1">IF(TabCalc[[#This Row],[EfCost]]+TabCalc[[#This Row],[M_V]]&lt;TabCalc[[#This Row],[NoT_GL]],"Pile","")</f>
        <v/>
      </c>
      <c r="BS82" s="165">
        <f ca="1">_xlfn.XLOOKUP(TabCalc[[#This Row],[Ticker]],[1]!RTData[Ticker_Symbol],[1]!RTData[Last trade time])</f>
        <v>45968.870768807814</v>
      </c>
      <c r="BT82" s="175">
        <f ca="1">(TabCalc[[#This Row],[ValueBegin]]+(TabCalc[[#This Row],[M]]-TabCalc[[#This Row],[A]])*TabCalc[[#This Row],[NAfter]])*TabCalc[[#This Row],[Scale]]</f>
        <v>-91805.87999999999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2001.1200000000044</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3901.6016074598779</v>
      </c>
      <c r="CV82" s="404">
        <f ca="1">IF(TabCalc[[#This Row],[ntoBuy]]*TabCalc[[#This Row],[M]]&lt;=0,0,TabCalc[[#This Row],[ntoBuy]]*TabCalc[[#This Row],[M]])</f>
        <v>126275.33602543896</v>
      </c>
      <c r="CW82" s="404">
        <f ca="1">IF(TabCalc[[#This Row],[M]]&gt;ABS(TabCalc[[#This Row],[L_Bp]]),MIN(TabCalc[[#This Row],[NAfter]],DesiredSaleGain/(TabCalc[[#This Row],[M]]+TabCalc[[#This Row],[L_Bp]])),0)/TabCalc[[#This Row],[Scale]]</f>
        <v>1200</v>
      </c>
      <c r="CX82" s="405">
        <f ca="1">TabCalc[[#This Row],[ntoSell]]*TabCalc[[#This Row],[M]]</f>
        <v>38838</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2001.1200000000044</v>
      </c>
      <c r="DB82" s="90">
        <f ca="1">IFERROR((TabCalc[[#This Row],[M]]+TabCalc[[#This Row],[L_Bp]])/ABS(TabCalc[[#This Row],[L_Bp]])/(TODAY()-TabCalc[[#This Row],[L_Bdate]])*360,"")</f>
        <v>6.9844910085451795E-2</v>
      </c>
      <c r="DC82" s="310">
        <f ca="1">MEDIAN(DataShift!F781:Z781)</f>
        <v>2.8830000000000001E-3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67966.5</v>
      </c>
      <c r="DF82" s="87" cm="1">
        <f t="array" aca="1" ref="DF82" ca="1">SUMPRODUCT(ISNUMBER(INDIRECT("TabReg["&amp;TabCalc[[#This Row],[Ticker]]&amp;"2]"))* INDIRECT("TabReg["&amp;TabCalc[[#This Row],[Ticker]]&amp;"1]") * INDIRECT("TabReg["&amp;TabCalc[[#This Row],[Ticker]]&amp;"2]") )*TabCalc[[#This Row],[Scale]]</f>
        <v>-57800.450000000004</v>
      </c>
      <c r="DI82" s="87">
        <f ca="1"/>
        <v>20004.3</v>
      </c>
      <c r="DJ82" s="90">
        <f t="shared" ca="1" si="6"/>
        <v>-0.53744550621447751</v>
      </c>
      <c r="DK82" t="str">
        <f ca="1">_xlfn.XLOOKUP(DI82,TabCalc[Column1],TabCalc[Ticker])</f>
        <v>NVAX</v>
      </c>
      <c r="DL82" s="87">
        <f ca="1">_xlfn.XLOOKUP(DK82,TabCalc[Ticker],TabCalc[ValueBegin])</f>
        <v>-160110</v>
      </c>
      <c r="DM82" s="87">
        <f ca="1">_xlfn.XLOOKUP(DK82,TabCalc[Ticker],TabCalc[M_V])</f>
        <v>48158.5</v>
      </c>
      <c r="DN82" s="87">
        <f ca="1">_xlfn.XLOOKUP(DK82,TabCalc[Ticker],TabCalc[GL])</f>
        <v>-86050.4</v>
      </c>
      <c r="DO82" s="90"/>
      <c r="DP82" s="90"/>
      <c r="DQ82" s="88" t="s">
        <v>78</v>
      </c>
      <c r="DR82" s="81">
        <v>30000</v>
      </c>
      <c r="DS82" s="315">
        <v>-7.04</v>
      </c>
      <c r="DU82" s="82">
        <v>35604</v>
      </c>
      <c r="DV82" s="82">
        <f ca="1">DU82-TabCalc[[#This Row],[M_V]]</f>
        <v>-3234</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110259.99999999999</v>
      </c>
      <c r="G83" s="82">
        <f ca="1">IFERROR(TabCalc[[#This Row],[SB]]-TabCalc[[#This Row],[SST]],TabCalc[[#This Row],[SB]])</f>
        <v>200</v>
      </c>
      <c r="H83" s="532" t="str">
        <f ca="1">[1]!RTData[[#This Row],[Ticker_Symbol]]</f>
        <v>MA</v>
      </c>
      <c r="I83" s="383">
        <f ca="1">_xlfn.XLOOKUP(TabCalc[[#This Row],[Ticker]],[1]!RTData[Ticker_Symbol],[1]!RTData[M-Price])</f>
        <v>551.29999999999995</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-3.5790000000000001E-3</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5.2346273590883383E-2</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-1459.0000000000032</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898.00000000000182</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4138</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-462.99999999999955</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-490.00000000001455</v>
      </c>
      <c r="AQ83" s="334">
        <f ca="1">_xlfn.LET(_xlpm.MVToday,DataShift!AV583,         _xlpm.MVY,DataShift!AU583,        _xlpm.MVYY, DataShift!AT583,                                IF(_xlpm.MVToday=_xlpm.MVY,_xlpm.MVY-_xlpm.MVYY,_xlpm.MVToday-_xlpm.MVY))</f>
        <v>879.87060000000201</v>
      </c>
      <c r="AR83" s="334">
        <f ca="1">_xlfn.LET(_xlpm.MVToday,DataShift!AV583,         _xlpm.MVY,DataShift!AU583,        _xlpm.MVYY, DataShift!AT583,         _xlpm.MVYYY, DataShift!AS583,                      IF(_xlpm.MVToday=_xlpm.MVY,      _xlpm.MVYY-_xlpm.MVYYY,          _xlpm.MVY-_xlpm.MVYY))</f>
        <v>-802.28060000000187</v>
      </c>
      <c r="AS83" s="984">
        <f ca="1">TabCalc[[#This Row],[Y]]/TabCalc[[#This Row],[M]]</f>
        <v>1.1884739706149103</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-3.1056496277803141</v>
      </c>
      <c r="AY83" s="82">
        <f t="shared" ca="1" si="8"/>
        <v>130</v>
      </c>
      <c r="AZ83" s="90">
        <f ca="1">_xlfn.XLOOKUP(TabCalc[[#This Row],[Ticker]],[1]!RTData[Ticker_Symbol],[1]!RTData[V/VA])</f>
        <v>0.61408189407985569</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0.61408189407985569</v>
      </c>
      <c r="BC83" s="87" cm="1">
        <f t="array" aca="1" ref="BC83" ca="1">INDEX(TabReg[], 1, _xlfn.XMATCH(TabCalc[[#This Row],[Ticker]]&amp;1, TabReg[#Headers], 0))</f>
        <v>330</v>
      </c>
      <c r="BD83" s="159">
        <f ca="1">TabCalc[[#This Row],[Nbegin]]*TabCalc[[#This Row],[M]]*TabCalc[[#This Row],[Scale]]+TabCalc[[#This Row],[ValueBegin]]</f>
        <v>65399.399999999965</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-6269.6000000000204</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47609.758999999976</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509.34</v>
      </c>
      <c r="BR83" s="174" t="str">
        <f ca="1">IF(TabCalc[[#This Row],[EfCost]]+TabCalc[[#This Row],[M_V]]&lt;TabCalc[[#This Row],[NoT_GL]],"Pile","")</f>
        <v>Pile</v>
      </c>
      <c r="BS83" s="165">
        <f ca="1">_xlfn.XLOOKUP(TabCalc[[#This Row],[Ticker]],[1]!RTData[Ticker_Symbol],[1]!RTData[Last trade time])</f>
        <v>45968.870784907034</v>
      </c>
      <c r="BT83" s="175">
        <f ca="1">(TabCalc[[#This Row],[ValueBegin]]+(TabCalc[[#This Row],[M]]-TabCalc[[#This Row],[A]])*TabCalc[[#This Row],[NAfter]])*TabCalc[[#This Row],[Scale]]</f>
        <v>-117539.60000000002</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-1010.0000000000136</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120.83131947800871</v>
      </c>
      <c r="CV83" s="404">
        <f ca="1">IF(TabCalc[[#This Row],[ntoBuy]]*TabCalc[[#This Row],[M]]&lt;=0,0,TabCalc[[#This Row],[ntoBuy]]*TabCalc[[#This Row],[M]])</f>
        <v>66614.306428226191</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-1010.0000000000136</v>
      </c>
      <c r="DB83" s="90">
        <f ca="1">IFERROR((TabCalc[[#This Row],[M]]+TabCalc[[#This Row],[L_Bp]])/ABS(TabCalc[[#This Row],[L_Bp]])/(TODAY()-TabCalc[[#This Row],[L_Bdate]])*360,"")</f>
        <v>-0.21094687531627621</v>
      </c>
      <c r="DC83" s="310">
        <f ca="1">MEDIAN(DataShift!F782:Z782)</f>
        <v>-1.7441999999999999E-2</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181928.99999999997</v>
      </c>
      <c r="DF83" s="87" cm="1">
        <f t="array" aca="1" ref="DF83" ca="1">SUMPRODUCT(ISNUMBER(INDIRECT("TabReg["&amp;TabCalc[[#This Row],[Ticker]]&amp;"2]"))* INDIRECT("TabReg["&amp;TabCalc[[#This Row],[Ticker]]&amp;"1]") * INDIRECT("TabReg["&amp;TabCalc[[#This Row],[Ticker]]&amp;"2]") )*TabCalc[[#This Row],[Scale]]</f>
        <v>-62650.241000000009</v>
      </c>
      <c r="DI83" s="87">
        <f ca="1"/>
        <v>19950</v>
      </c>
      <c r="DJ83" s="90">
        <f t="shared" ca="1" si="6"/>
        <v>-1.1046031595388137</v>
      </c>
      <c r="DK83" t="str">
        <f ca="1">_xlfn.XLOOKUP(DI83,TabCalc[Column1],TabCalc[Ticker])</f>
        <v>UN0</v>
      </c>
      <c r="DL83" s="87">
        <f ca="1">_xlfn.XLOOKUP(DK83,TabCalc[Ticker],TabCalc[ValueBegin])</f>
        <v>-184394</v>
      </c>
      <c r="DM83" s="87">
        <f ca="1">_xlfn.XLOOKUP(DK83,TabCalc[Ticker],TabCalc[M_V])</f>
        <v>85500</v>
      </c>
      <c r="DN83" s="87">
        <f ca="1">_xlfn.XLOOKUP(DK83,TabCalc[Ticker],TabCalc[GL])</f>
        <v>-203682.19500000001</v>
      </c>
      <c r="DO83" s="90"/>
      <c r="DP83" s="90"/>
      <c r="DQ83" s="88" t="s">
        <v>666</v>
      </c>
      <c r="DR83" s="82">
        <v>450</v>
      </c>
      <c r="DS83" s="315">
        <v>-262.89</v>
      </c>
      <c r="DU83" s="82">
        <v>110588.00000000001</v>
      </c>
      <c r="DV83" s="82">
        <f ca="1">DU83-TabCalc[[#This Row],[M_V]]</f>
        <v>328.0000000000291</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48158.5</v>
      </c>
      <c r="G84" s="82">
        <f ca="1">IFERROR(TabCalc[[#This Row],[SB]]-TabCalc[[#This Row],[SST]],TabCalc[[#This Row],[SB]])</f>
        <v>6500</v>
      </c>
      <c r="H84" s="532" t="str">
        <f ca="1">[1]!RTData[[#This Row],[Ticker_Symbol]]</f>
        <v>NVAX</v>
      </c>
      <c r="I84" s="383">
        <f ca="1">_xlfn.XLOOKUP(TabCalc[[#This Row],[Ticker]],[1]!RTData[Ticker_Symbol],[1]!RTData[M-Price])</f>
        <v>7.4089999999999998</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-2.3847E-2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5.4597952006795493E-2</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-10529.099999999997</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13449.149999999998</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29739.999999999996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20360.699999999997</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-331.5</v>
      </c>
      <c r="AQ84" s="334">
        <f ca="1">_xlfn.LET(_xlpm.MVToday,DataShift!AV584,         _xlpm.MVY,DataShift!AU584,        _xlpm.MVYY, DataShift!AT584,                                IF(_xlpm.MVToday=_xlpm.MVY,_xlpm.MVY-_xlpm.MVYY,_xlpm.MVToday-_xlpm.MVY))</f>
        <v>1098</v>
      </c>
      <c r="AR84" s="334">
        <f ca="1">_xlfn.LET(_xlpm.MVToday,DataShift!AV584,         _xlpm.MVY,DataShift!AU584,        _xlpm.MVYY, DataShift!AT584,         _xlpm.MVYYY, DataShift!AS584,                      IF(_xlpm.MVToday=_xlpm.MVY,      _xlpm.MVYY-_xlpm.MVYYY,          _xlpm.MVY-_xlpm.MVYY))</f>
        <v>-198</v>
      </c>
      <c r="AS84" s="984">
        <f ca="1">TabCalc[[#This Row],[Y]]/TabCalc[[#This Row],[M]]</f>
        <v>1.7023215008773116</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-1.5077380764949713</v>
      </c>
      <c r="AY84" s="82">
        <f t="shared" ca="1" si="8"/>
        <v>0</v>
      </c>
      <c r="AZ84" s="90">
        <f ca="1">_xlfn.XLOOKUP(TabCalc[[#This Row],[Ticker]],[1]!RTData[Ticker_Symbol],[1]!RTData[V/VA])</f>
        <v>0.9044910655758166</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0.9044910655758166</v>
      </c>
      <c r="BC84" s="87" cm="1">
        <f t="array" aca="1" ref="BC84" ca="1">INDEX(TabReg[], 1, _xlfn.XMATCH(TabCalc[[#This Row],[Ticker]]&amp;1, TabReg[#Headers], 0))</f>
        <v>2700</v>
      </c>
      <c r="BD84" s="159">
        <f ca="1">TabCalc[[#This Row],[Nbegin]]*TabCalc[[#This Row],[M]]*TabCalc[[#This Row],[Scale]]+TabCalc[[#This Row],[ValueBegin]]</f>
        <v>-140105.70000000001</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-111951.5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-86050.4</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27.14</v>
      </c>
      <c r="BR84" s="174" t="str">
        <f ca="1">IF(TabCalc[[#This Row],[EfCost]]+TabCalc[[#This Row],[M_V]]&lt;TabCalc[[#This Row],[NoT_GL]],"Pile","")</f>
        <v/>
      </c>
      <c r="BS84" s="165">
        <f ca="1">_xlfn.XLOOKUP(TabCalc[[#This Row],[Ticker]],[1]!RTData[Ticker_Symbol],[1]!RTData[Last trade time])</f>
        <v>45968.870771296097</v>
      </c>
      <c r="BT84" s="175">
        <f ca="1">(TabCalc[[#This Row],[ValueBegin]]+(TabCalc[[#This Row],[M]]-TabCalc[[#This Row],[A]])*TabCalc[[#This Row],[NAfter]])*TabCalc[[#This Row],[Scale]]</f>
        <v>-166500.9</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-6390.8999999999924</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840.61869535978485</v>
      </c>
      <c r="CV84" s="404">
        <f ca="1">IF(TabCalc[[#This Row],[ntoBuy]]*TabCalc[[#This Row],[M]]&lt;=0,0,TabCalc[[#This Row],[ntoBuy]]*TabCalc[[#This Row],[M]])</f>
        <v>6228.1439139206459</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-6390.8999999999924</v>
      </c>
      <c r="DB84" s="90">
        <f ca="1">IFERROR((TabCalc[[#This Row],[M]]+TabCalc[[#This Row],[L_Bp]])/ABS(TabCalc[[#This Row],[L_Bp]])/(TODAY()-TabCalc[[#This Row],[L_Bdate]])*360,"")</f>
        <v>-0.28328934305155334</v>
      </c>
      <c r="DC84" s="310">
        <f ca="1">MEDIAN(DataShift!F783:Z783)</f>
        <v>1.3980000000000002E-3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20004.3</v>
      </c>
      <c r="DF84" s="87" cm="1">
        <f t="array" aca="1" ref="DF84" ca="1">SUMPRODUCT(ISNUMBER(INDIRECT("TabReg["&amp;TabCalc[[#This Row],[Ticker]]&amp;"2]"))* INDIRECT("TabReg["&amp;TabCalc[[#This Row],[Ticker]]&amp;"1]") * INDIRECT("TabReg["&amp;TabCalc[[#This Row],[Ticker]]&amp;"2]") )*TabCalc[[#This Row],[Scale]]</f>
        <v>-134208.9</v>
      </c>
      <c r="DI84" s="87">
        <f ca="1"/>
        <v>13130</v>
      </c>
      <c r="DJ84" s="90">
        <f t="shared" ca="1" si="6"/>
        <v>-0.3263147262532981</v>
      </c>
      <c r="DK84" t="str">
        <f ca="1">_xlfn.XLOOKUP(DI84,TabCalc[Column1],TabCalc[Ticker])</f>
        <v>UNIT</v>
      </c>
      <c r="DL84" s="87">
        <f ca="1">_xlfn.XLOOKUP(DK84,TabCalc[Ticker],TabCalc[ValueBegin])</f>
        <v>-60640</v>
      </c>
      <c r="DM84" s="87">
        <f ca="1">_xlfn.XLOOKUP(DK84,TabCalc[Ticker],TabCalc[M_V])</f>
        <v>47497.775000000001</v>
      </c>
      <c r="DN84" s="87">
        <f ca="1">_xlfn.XLOOKUP(DK84,TabCalc[Ticker],TabCalc[GL])</f>
        <v>-19787.724999999999</v>
      </c>
      <c r="DO84" s="90"/>
      <c r="DP84" s="90"/>
      <c r="DQ84" s="88" t="s">
        <v>79</v>
      </c>
      <c r="DR84" s="81">
        <v>12000</v>
      </c>
      <c r="DS84" s="315">
        <v>-13.49</v>
      </c>
      <c r="DU84" s="82">
        <v>48815</v>
      </c>
      <c r="DV84" s="82">
        <f ca="1">DU84-TabCalc[[#This Row],[M_V]]</f>
        <v>656.5</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126.45</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-9.4810000000000001E-4</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5.8458916403181516E-2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-9375.8000000000029</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-27049.999999999996</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-206.0000000000291</v>
      </c>
      <c r="AR85" s="334">
        <f ca="1">_xlfn.LET(_xlpm.MVToday,DataShift!AV585,         _xlpm.MVY,DataShift!AU585,        _xlpm.MVYY, DataShift!AT585,         _xlpm.MVYYY, DataShift!AS585,                      IF(_xlpm.MVToday=_xlpm.MVY,      _xlpm.MVYY-_xlpm.MVYYY,          _xlpm.MVY-_xlpm.MVYY))</f>
        <v>-285.99999999998545</v>
      </c>
      <c r="AS85" s="984">
        <f ca="1">TabCalc[[#This Row],[Y]]/TabCalc[[#This Row],[M]]</f>
        <v>1.0079398971925662</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-6.2795545125783581E-5</v>
      </c>
      <c r="AY85" s="82">
        <f t="shared" ca="1" si="8"/>
        <v>200</v>
      </c>
      <c r="AZ85" s="90">
        <f ca="1">_xlfn.XLOOKUP(TabCalc[[#This Row],[Ticker]],[1]!RTData[Ticker_Symbol],[1]!RTData[V/VA])</f>
        <v>0.69127556692117309</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0.69127556692117309</v>
      </c>
      <c r="BC85" s="87" cm="1">
        <f t="array" aca="1" ref="BC85" ca="1">INDEX(TabReg[], 1, _xlfn.XMATCH(TabCalc[[#This Row],[Ticker]]&amp;1, TabReg[#Headers], 0))</f>
        <v>200</v>
      </c>
      <c r="BD85" s="159">
        <f ca="1">TabCalc[[#This Row],[Nbegin]]*TabCalc[[#This Row],[M]]*TabCalc[[#This Row],[Scale]]+TabCalc[[#This Row],[ValueBegin]]</f>
        <v>8120</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45968.870789964843</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0.34209714865532836</v>
      </c>
      <c r="DC85" s="310">
        <f ca="1">MEDIAN(DataShift!F784:Z784)</f>
        <v>-1.3289999999999999E-3</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25290</v>
      </c>
      <c r="DF85" s="87" cm="1">
        <f t="array" aca="1" ref="DF85" ca="1">SUMPRODUCT(ISNUMBER(INDIRECT("TabReg["&amp;TabCalc[[#This Row],[Ticker]]&amp;"2]"))* INDIRECT("TabReg["&amp;TabCalc[[#This Row],[Ticker]]&amp;"1]") * INDIRECT("TabReg["&amp;TabCalc[[#This Row],[Ticker]]&amp;"2]") )*TabCalc[[#This Row],[Scale]]</f>
        <v>13562.79389999999</v>
      </c>
      <c r="DI85" s="87">
        <f ca="1"/>
        <v>12262.5</v>
      </c>
      <c r="DJ85" s="90">
        <f t="shared" ca="1" si="6"/>
        <v>-2.7826196438464579</v>
      </c>
      <c r="DK85" t="str">
        <f ca="1">_xlfn.XLOOKUP(DI85,TabCalc[Column1],TabCalc[Ticker])</f>
        <v>SAFMRNA</v>
      </c>
      <c r="DL85" s="87">
        <f ca="1">_xlfn.XLOOKUP(DK85,TabCalc[Ticker],TabCalc[ValueBegin])</f>
        <v>-63175</v>
      </c>
      <c r="DM85" s="87">
        <f ca="1">_xlfn.XLOOKUP(DK85,TabCalc[Ticker],TabCalc[M_V])</f>
        <v>122625</v>
      </c>
      <c r="DN85" s="87">
        <f ca="1">_xlfn.XLOOKUP(DK85,TabCalc[Ticker],TabCalc[GL])</f>
        <v>-175791.99599999998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16998</v>
      </c>
      <c r="G86" s="82">
        <f ca="1">IFERROR(TabCalc[[#This Row],[SB]]-TabCalc[[#This Row],[SST]],TabCalc[[#This Row],[SB]])</f>
        <v>1200</v>
      </c>
      <c r="H86" s="532" t="str">
        <f ca="1">[1]!RTData[[#This Row],[Ticker_Symbol]]</f>
        <v>ORA</v>
      </c>
      <c r="I86" s="383">
        <f ca="1">_xlfn.XLOOKUP(TabCalc[[#This Row],[Ticker]],[1]!RTData[Ticker_Symbol],[1]!RTData[M-Price])</f>
        <v>14.164999999999999</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1.6141000000000003E-2</v>
      </c>
      <c r="N86" s="1077">
        <v>0</v>
      </c>
      <c r="O86" s="899">
        <f>TabCalc[[#This Row],[Up20]]-1+TabCalc[[#This Row],[Up20]]</f>
        <v>-1</v>
      </c>
      <c r="P86" s="899">
        <f>TabCalc[[#This Row],[Up20]]-TabCalc[[#This Row],[Up150]]</f>
        <v>-0.30769230769230771</v>
      </c>
      <c r="Q86" s="899">
        <v>0.30769230769230771</v>
      </c>
      <c r="R86" s="899">
        <f>TabCalc[[#This Row],[Up150]]-1+TabCalc[[#This Row],[Up150]]</f>
        <v>-0.38461538461538458</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0.28783211134267017</v>
      </c>
      <c r="U86" s="1013">
        <v>0</v>
      </c>
      <c r="V86" s="1013">
        <v>1200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503.99999999999989</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5262</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-4270</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-4639.9999999999973</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258</v>
      </c>
      <c r="AQ86" s="334">
        <f ca="1">_xlfn.LET(_xlpm.MVToday,DataShift!AV586,         _xlpm.MVY,DataShift!AU586,        _xlpm.MVYY, DataShift!AT586,                                IF(_xlpm.MVToday=_xlpm.MVY,_xlpm.MVY-_xlpm.MVYY,_xlpm.MVToday-_xlpm.MVY))</f>
        <v>-1892.1500000000015</v>
      </c>
      <c r="AR86" s="334">
        <f ca="1">_xlfn.LET(_xlpm.MVToday,DataShift!AV586,         _xlpm.MVY,DataShift!AU586,        _xlpm.MVYY, DataShift!AT586,         _xlpm.MVYYY, DataShift!AS586,                      IF(_xlpm.MVToday=_xlpm.MVY,      _xlpm.MVYY-_xlpm.MVYYY,          _xlpm.MVY-_xlpm.MVYY))</f>
        <v>65.650000000001455</v>
      </c>
      <c r="AS86" s="984">
        <f ca="1">TabCalc[[#This Row],[Y]]/TabCalc[[#This Row],[M]]</f>
        <v>1.0816957289092834</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-7.1401859146017991E-3</v>
      </c>
      <c r="AY86" s="82">
        <f t="shared" ca="1" si="8"/>
        <v>6500</v>
      </c>
      <c r="AZ86" s="90">
        <f ca="1">_xlfn.XLOOKUP(TabCalc[[#This Row],[Ticker]],[1]!RTData[Ticker_Symbol],[1]!RTData[V/VA])</f>
        <v>1.0808883296742351</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1.0808883296742351</v>
      </c>
      <c r="BC86" s="87" cm="1">
        <f t="array" aca="1" ref="BC86" ca="1">INDEX(TabReg[], 1, _xlfn.XMATCH(TabCalc[[#This Row],[Ticker]]&amp;1, TabReg[#Headers], 0))</f>
        <v>7700</v>
      </c>
      <c r="BD86" s="159">
        <f ca="1">TabCalc[[#This Row],[Nbegin]]*TabCalc[[#This Row],[M]]*TabCalc[[#This Row],[Scale]]+TabCalc[[#This Row],[ValueBegin]]</f>
        <v>12512.5</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-79560</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6469.2000000000116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45968.708333333336</v>
      </c>
      <c r="BT86" s="175">
        <f ca="1">(TabCalc[[#This Row],[ValueBegin]]+(TabCalc[[#This Row],[M]]-TabCalc[[#This Row],[A]])*TabCalc[[#This Row],[NAfter]])*TabCalc[[#This Row],[Scale]]</f>
        <v>-96054</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503.99999999999989</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16998</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503.99999999999989</v>
      </c>
      <c r="DB86" s="90">
        <f ca="1">IFERROR((TabCalc[[#This Row],[M]]+TabCalc[[#This Row],[L_Bp]])/ABS(TabCalc[[#This Row],[L_Bp]])/(TODAY()-TabCalc[[#This Row],[L_Bdate]])*360,"")</f>
        <v>0.2244972197682274</v>
      </c>
      <c r="DC86" s="310">
        <f ca="1">MEDIAN(DataShift!F785:Z785)</f>
        <v>-1.5134000000000002E-2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109070.5</v>
      </c>
      <c r="DF86" s="87" cm="1">
        <f t="array" aca="1" ref="DF86" ca="1">SUMPRODUCT(ISNUMBER(INDIRECT("TabReg["&amp;TabCalc[[#This Row],[Ticker]]&amp;"2]"))* INDIRECT("TabReg["&amp;TabCalc[[#This Row],[Ticker]]&amp;"1]") * INDIRECT("TabReg["&amp;TabCalc[[#This Row],[Ticker]]&amp;"2]") )*TabCalc[[#This Row],[Scale]]</f>
        <v>-10528.799999999988</v>
      </c>
      <c r="DI86" s="87">
        <f ca="1"/>
        <v>10052</v>
      </c>
      <c r="DJ86" s="90">
        <f t="shared" ca="1" si="6"/>
        <v>8.2455604238842479</v>
      </c>
      <c r="DK86" t="str">
        <f ca="1">_xlfn.XLOOKUP(DI86,TabCalc[Column1],TabCalc[Ticker])</f>
        <v>C</v>
      </c>
      <c r="DL86" s="87">
        <f ca="1">_xlfn.XLOOKUP(DK86,TabCalc[Ticker],TabCalc[ValueBegin])</f>
        <v>-4907</v>
      </c>
      <c r="DM86" s="87">
        <f ca="1">_xlfn.XLOOKUP(DK86,TabCalc[Ticker],TabCalc[M_V])</f>
        <v>10554.6</v>
      </c>
      <c r="DN86" s="87">
        <f ca="1">_xlfn.XLOOKUP(DK86,TabCalc[Ticker],TabCalc[GL])</f>
        <v>40460.965000000004</v>
      </c>
      <c r="DO86" s="90"/>
      <c r="DP86" s="90"/>
      <c r="DQ86" s="88" t="s">
        <v>81</v>
      </c>
      <c r="DR86" s="81">
        <v>5353</v>
      </c>
      <c r="DS86" s="315">
        <v>-47.08</v>
      </c>
      <c r="DU86" s="82">
        <v>16458</v>
      </c>
      <c r="DV86" s="82">
        <f ca="1">DU86-TabCalc[[#This Row],[M_V]]</f>
        <v>-540</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164757.20000000001</v>
      </c>
      <c r="G87" s="82">
        <f ca="1">IFERROR(TabCalc[[#This Row],[SB]]-TabCalc[[#This Row],[SST]],TabCalc[[#This Row],[SB]])</f>
        <v>4000</v>
      </c>
      <c r="H87" s="532" t="str">
        <f ca="1">[1]!RTData[[#This Row],[Ticker_Symbol]]</f>
        <v>OXY</v>
      </c>
      <c r="I87" s="383">
        <f ca="1">_xlfn.XLOOKUP(TabCalc[[#This Row],[Ticker]],[1]!RTData[Ticker_Symbol],[1]!RTData[M-Price])</f>
        <v>41.189300000000003</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2.2067E-2</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-0.18100447225482597</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2,027 = $ 83,490</v>
      </c>
      <c r="Z87" s="211">
        <f ca="1">MIN(TabCalc[[#This Row],[L_Bn]],TabCalc[[#This Row],[NAfter]])*(TabCalc[[#This Row],[M]]+TabCalc[[#This Row],[L_Bp]])*TabCalc[[#This Row],[Scale]]</f>
        <v>-6050.6999999999989</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-6210.63</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10670.699999999997</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43421.799999999988</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3077.2000000000116</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1.2117962674772331</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-0.32293097767810325</v>
      </c>
      <c r="AY87" s="82">
        <f t="shared" ca="1" si="8"/>
        <v>0</v>
      </c>
      <c r="AZ87" s="90">
        <f ca="1">_xlfn.XLOOKUP(TabCalc[[#This Row],[Ticker]],[1]!RTData[Ticker_Symbol],[1]!RTData[V/VA])</f>
        <v>0.73549582470054142</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0.73549582470054142</v>
      </c>
      <c r="BC87" s="87" cm="1">
        <f t="array" aca="1" ref="BC87" ca="1">INDEX(TabReg[], 1, _xlfn.XMATCH(TabCalc[[#This Row],[Ticker]]&amp;1, TabReg[#Headers], 0))</f>
        <v>1100</v>
      </c>
      <c r="BD87" s="159">
        <f ca="1">TabCalc[[#This Row],[Nbegin]]*TabCalc[[#This Row],[M]]*TabCalc[[#This Row],[Scale]]+TabCalc[[#This Row],[ValueBegin]]</f>
        <v>-33308.769999999997</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86140.200000000012</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-69561.625999999989</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89.87</v>
      </c>
      <c r="BR87" s="174" t="str">
        <f ca="1">IF(TabCalc[[#This Row],[EfCost]]+TabCalc[[#This Row],[M_V]]&lt;TabCalc[[#This Row],[NoT_GL]],"Pile","")</f>
        <v>Pile</v>
      </c>
      <c r="BS87" s="165">
        <f ca="1">_xlfn.XLOOKUP(TabCalc[[#This Row],[Ticker]],[1]!RTData[Ticker_Symbol],[1]!RTData[Last trade time])</f>
        <v>45968.870783159378</v>
      </c>
      <c r="BT87" s="175">
        <f ca="1">(TabCalc[[#This Row],[ValueBegin]]+(TabCalc[[#This Row],[M]]-TabCalc[[#This Row],[A]])*TabCalc[[#This Row],[NAfter]])*TabCalc[[#This Row],[Scale]]</f>
        <v>-131197.69999999998</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-52580.699999999983</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468.57282090209657</v>
      </c>
      <c r="CV87" s="404">
        <f ca="1">IF(TabCalc[[#This Row],[ntoBuy]]*TabCalc[[#This Row],[M]]&lt;=0,0,TabCalc[[#This Row],[ntoBuy]]*TabCalc[[#This Row],[M]])</f>
        <v>19300.186491982728</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-52580.699999999983</v>
      </c>
      <c r="DB87" s="90">
        <f ca="1">IFERROR((TabCalc[[#This Row],[M]]+TabCalc[[#This Row],[L_Bp]])/ABS(TabCalc[[#This Row],[L_Bp]])/(TODAY()-TabCalc[[#This Row],[L_Bdate]])*360,"")</f>
        <v>-0.19621417118561618</v>
      </c>
      <c r="DC87" s="310">
        <f ca="1">MEDIAN(DataShift!F786:Z786)</f>
        <v>6.8519999999999996E-4</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45308.23</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-4409.2000000000116</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39000</v>
      </c>
      <c r="G88" s="82">
        <f ca="1">IFERROR(TabCalc[[#This Row],[SB]]-TabCalc[[#This Row],[SST]],TabCalc[[#This Row],[SB]])</f>
        <v>1600</v>
      </c>
      <c r="H88" s="532" t="str">
        <f ca="1">[1]!RTData[[#This Row],[Ticker_Symbol]]</f>
        <v>PFE</v>
      </c>
      <c r="I88" s="383">
        <f ca="1">_xlfn.XLOOKUP(TabCalc[[#This Row],[Ticker]],[1]!RTData[Ticker_Symbol],[1]!RTData[M-Price])</f>
        <v>24.375</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-1.843E-3</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-5.5102555579014667E-2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-904.00000000000205</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-5680.0000000000009</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11109.672</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7661.5000000000027</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56</v>
      </c>
      <c r="AQ88" s="334">
        <f ca="1">_xlfn.LET(_xlpm.MVToday,DataShift!AV588,         _xlpm.MVY,DataShift!AU588,        _xlpm.MVYY, DataShift!AT588,                                IF(_xlpm.MVToday=_xlpm.MVY,_xlpm.MVY-_xlpm.MVYY,_xlpm.MVToday-_xlpm.MVY))</f>
        <v>270</v>
      </c>
      <c r="AR88" s="334">
        <f ca="1">_xlfn.LET(_xlpm.MVToday,DataShift!AV588,         _xlpm.MVY,DataShift!AU588,        _xlpm.MVYY, DataShift!AT588,         _xlpm.MVYYY, DataShift!AS588,                      IF(_xlpm.MVToday=_xlpm.MVY,      _xlpm.MVYY-_xlpm.MVYYY,          _xlpm.MVY-_xlpm.MVYY))</f>
        <v>270</v>
      </c>
      <c r="AS88" s="984">
        <f ca="1">TabCalc[[#This Row],[Y]]/TabCalc[[#This Row],[M]]</f>
        <v>1.1795651282051283</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5">
        <f ca="1">IFERROR((TabCalc[[#This Row],[M]]-TabCalc[[#This Row],[Y]])*(TabCalc[[#This Row],[M]]-TabCalc[[#This Row],[Y]])*(TabCalc[[#This Row],[M]]-TabCalc[[#This Row],[Y]])/(TabCalc[[#This Row],[Y]]*TabCalc[[#This Row],[M]]),"")</f>
        <v>-0.11964338706443062</v>
      </c>
      <c r="AY88" s="82">
        <f t="shared" ca="1" si="8"/>
        <v>0</v>
      </c>
      <c r="AZ88" s="90">
        <f ca="1">_xlfn.XLOOKUP(TabCalc[[#This Row],[Ticker]],[1]!RTData[Ticker_Symbol],[1]!RTData[V/VA])</f>
        <v>1.5310946563079202</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1.5310946563079202</v>
      </c>
      <c r="BC88" s="87" cm="1">
        <f t="array" aca="1" ref="BC88" ca="1">INDEX(TabReg[], 1, _xlfn.XMATCH(TabCalc[[#This Row],[Ticker]]&amp;1, TabReg[#Headers], 0))</f>
        <v>1300</v>
      </c>
      <c r="BD88" s="159">
        <f ca="1">TabCalc[[#This Row],[Nbegin]]*TabCalc[[#This Row],[M]]*TabCalc[[#This Row],[Scale]]+TabCalc[[#This Row],[ValueBegin]]</f>
        <v>-22288.500000000007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-14976.000000000007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-8953.0780000000013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46.44</v>
      </c>
      <c r="BR88" s="174" t="str">
        <f ca="1">IF(TabCalc[[#This Row],[EfCost]]+TabCalc[[#This Row],[M_V]]&lt;TabCalc[[#This Row],[NoT_GL]],"Pile","")</f>
        <v/>
      </c>
      <c r="BS88" s="165">
        <f ca="1">_xlfn.XLOOKUP(TabCalc[[#This Row],[Ticker]],[1]!RTData[Ticker_Symbol],[1]!RTData[Last trade time])</f>
        <v>45968.870796515628</v>
      </c>
      <c r="BT88" s="175">
        <f ca="1">(TabCalc[[#This Row],[ValueBegin]]+(TabCalc[[#This Row],[M]]-TabCalc[[#This Row],[A]])*TabCalc[[#This Row],[NAfter]])*TabCalc[[#This Row],[Scale]]</f>
        <v>-54880.000000000007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-904.00000000000205</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904.61716601534226</v>
      </c>
      <c r="CV88" s="404">
        <f ca="1">IF(TabCalc[[#This Row],[ntoBuy]]*TabCalc[[#This Row],[M]]&lt;=0,0,TabCalc[[#This Row],[ntoBuy]]*TabCalc[[#This Row],[M]])</f>
        <v>22050.043421623966</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-904.00000000000205</v>
      </c>
      <c r="DB88" s="90">
        <f ca="1">IFERROR((TabCalc[[#This Row],[M]]+TabCalc[[#This Row],[L_Bp]])/ABS(TabCalc[[#This Row],[L_Bp]])/(TODAY()-TabCalc[[#This Row],[L_Bdate]])*360,"")</f>
        <v>-2.3235251783768274E-2</v>
      </c>
      <c r="DC88" s="310">
        <f ca="1">MEDIAN(DataShift!F787:Z787)</f>
        <v>2.8879999999999999E-3</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31687.5</v>
      </c>
      <c r="DF88" s="87" cm="1">
        <f t="array" aca="1" ref="DF88" ca="1">SUMPRODUCT(ISNUMBER(INDIRECT("TabReg["&amp;TabCalc[[#This Row],[Ticker]]&amp;"2]"))* INDIRECT("TabReg["&amp;TabCalc[[#This Row],[Ticker]]&amp;"1]") * INDIRECT("TabReg["&amp;TabCalc[[#This Row],[Ticker]]&amp;"2]") )*TabCalc[[#This Row],[Scale]]</f>
        <v>-47953.078000000001</v>
      </c>
      <c r="DI88" s="87">
        <f ca="1"/>
        <v>6664.4850000000006</v>
      </c>
      <c r="DJ88" s="90">
        <f t="shared" ca="1" si="6"/>
        <v>-1.258113983678389</v>
      </c>
      <c r="DK88" t="str">
        <f ca="1">_xlfn.XLOOKUP(DI88,TabCalc[Column1],TabCalc[Ticker])</f>
        <v>LAZR</v>
      </c>
      <c r="DL88" s="87">
        <f ca="1">_xlfn.XLOOKUP(DK88,TabCalc[Ticker],TabCalc[ValueBegin])</f>
        <v>-252019.24</v>
      </c>
      <c r="DM88" s="87">
        <f ca="1">_xlfn.XLOOKUP(DK88,TabCalc[Ticker],TabCalc[M_V])</f>
        <v>19319.91</v>
      </c>
      <c r="DN88" s="87">
        <f ca="1">_xlfn.XLOOKUP(DK88,TabCalc[Ticker],TabCalc[GL])</f>
        <v>-317068.93</v>
      </c>
      <c r="DO88" s="90"/>
      <c r="DP88" s="90"/>
      <c r="DQ88" s="88" t="s">
        <v>83</v>
      </c>
      <c r="DR88" s="81">
        <v>2700</v>
      </c>
      <c r="DS88" s="315">
        <v>-59.3</v>
      </c>
      <c r="DU88" s="82">
        <v>38912</v>
      </c>
      <c r="DV88" s="82">
        <f ca="1">DU88-TabCalc[[#This Row],[M_V]]</f>
        <v>-88</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170280</v>
      </c>
      <c r="G89" s="82">
        <f ca="1">IFERROR(TabCalc[[#This Row],[SB]]-TabCalc[[#This Row],[SST]],TabCalc[[#This Row],[SB]])</f>
        <v>43000</v>
      </c>
      <c r="H89" s="532" t="str">
        <f ca="1">[1]!RTData[[#This Row],[Ticker_Symbol]]</f>
        <v>RIG</v>
      </c>
      <c r="I89" s="383">
        <f ca="1">_xlfn.XLOOKUP(TabCalc[[#This Row],[Ticker]],[1]!RTData[Ticker_Symbol],[1]!RTData[M-Price])</f>
        <v>3.96</v>
      </c>
      <c r="J89" s="382">
        <v>3.5051041666666665</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1.5384999999999999E-2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-6.8757489437051678E-2</v>
      </c>
      <c r="U89" s="1013">
        <v>41000</v>
      </c>
      <c r="V89" s="1013">
        <v>7000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7540.0000000000009</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23000</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-24.999999999999467</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5619.9000000000015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3010</v>
      </c>
      <c r="AQ89" s="334">
        <f ca="1">_xlfn.LET(_xlpm.MVToday,DataShift!AV589,         _xlpm.MVY,DataShift!AU589,        _xlpm.MVYY, DataShift!AT589,                                IF(_xlpm.MVToday=_xlpm.MVY,_xlpm.MVY-_xlpm.MVYY,_xlpm.MVToday-_xlpm.MVY))</f>
        <v>3677.2000000000116</v>
      </c>
      <c r="AR89" s="334">
        <f ca="1">_xlfn.LET(_xlpm.MVToday,DataShift!AV589,         _xlpm.MVY,DataShift!AU589,        _xlpm.MVYY, DataShift!AT589,         _xlpm.MVYYY, DataShift!AS589,                      IF(_xlpm.MVToday=_xlpm.MVY,      _xlpm.MVYY-_xlpm.MVYYY,          _xlpm.MVY-_xlpm.MVYY))</f>
        <v>1980</v>
      </c>
      <c r="AS89" s="984">
        <f ca="1">TabCalc[[#This Row],[Y]]/TabCalc[[#This Row],[M]]</f>
        <v>0.99844696969696978</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36000</v>
      </c>
      <c r="AX89" s="305">
        <f ca="1">IFERROR((TabCalc[[#This Row],[M]]-TabCalc[[#This Row],[Y]])*(TabCalc[[#This Row],[M]]-TabCalc[[#This Row],[Y]])*(TabCalc[[#This Row],[M]]-TabCalc[[#This Row],[Y]])/(TabCalc[[#This Row],[Y]]*TabCalc[[#This Row],[M]]),"")</f>
        <v>1.4856276448615939E-8</v>
      </c>
      <c r="AY89" s="82">
        <f t="shared" ca="1" si="8"/>
        <v>0</v>
      </c>
      <c r="AZ89" s="90">
        <f ca="1">_xlfn.XLOOKUP(TabCalc[[#This Row],[Ticker]],[1]!RTData[Ticker_Symbol],[1]!RTData[V/VA])</f>
        <v>0.60737840672962018</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0.60737840672962018</v>
      </c>
      <c r="BC89" s="87" cm="1">
        <f t="array" aca="1" ref="BC89" ca="1">INDEX(TabReg[], 1, _xlfn.XMATCH(TabCalc[[#This Row],[Ticker]]&amp;1, TabReg[#Headers], 0))</f>
        <v>7000</v>
      </c>
      <c r="BD89" s="159">
        <f ca="1">TabCalc[[#This Row],[Nbegin]]*TabCalc[[#This Row],[M]]*TabCalc[[#This Row],[Scale]]+TabCalc[[#This Row],[ValueBegin]]</f>
        <v>7630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150190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28230.100000000006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45968.870769803128</v>
      </c>
      <c r="BT89" s="175">
        <f ca="1">(TabCalc[[#This Row],[ValueBegin]]+(TabCalc[[#This Row],[M]]-TabCalc[[#This Row],[A]])*TabCalc[[#This Row],[NAfter]])*TabCalc[[#This Row],[Scale]]</f>
        <v>-529.4791666666606</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19560.520833333339</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8620.689655172413</v>
      </c>
      <c r="CX89" s="405">
        <f ca="1">TabCalc[[#This Row],[ntoSell]]*TabCalc[[#This Row],[M]]</f>
        <v>34137.931034482754</v>
      </c>
      <c r="CY89" s="398">
        <f ca="1">_xlfn.LET(_xlpm.nToSell,IF(TabCalc[[#This Row],[M]]-TabCalc[[#This Row],[A]]&lt;=0,"",INT(DesiredSaleGain/(TabCalc[[#This Row],[M]]-IF(TabCalc[[#This Row],[E]]&gt;0,0,TabCalc[[#This Row],[A]])))),IF(_xlpm.nToSell&lt;=TabCalc[[#This Row],[NAfter]],_xlpm.nToSell,0))</f>
        <v>10991</v>
      </c>
      <c r="CZ89" s="336">
        <f ca="1">IFERROR(TabCalc[[#This Row],[NMA]]*TabCalc[[#This Row],[M]],"")</f>
        <v>43524.36</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19560.520833333339</v>
      </c>
      <c r="DB89" s="90">
        <f ca="1">IFERROR((TabCalc[[#This Row],[M]]+TabCalc[[#This Row],[L_Bp]])/ABS(TabCalc[[#This Row],[L_Bp]])/(TODAY()-TabCalc[[#This Row],[L_Bdate]])*360,"")</f>
        <v>1.3429379984563932</v>
      </c>
      <c r="DC89" s="310">
        <f ca="1">MEDIAN(DataShift!F788:Z788)</f>
        <v>-3.3E-3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27720</v>
      </c>
      <c r="DF89" s="87" cm="1">
        <f t="array" aca="1" ref="DF89" ca="1">SUMPRODUCT(ISNUMBER(INDIRECT("TabReg["&amp;TabCalc[[#This Row],[Ticker]]&amp;"2]"))* INDIRECT("TabReg["&amp;TabCalc[[#This Row],[Ticker]]&amp;"1]") * INDIRECT("TabReg["&amp;TabCalc[[#This Row],[Ticker]]&amp;"2]") )*TabCalc[[#This Row],[Scale]]</f>
        <v>-142049.9</v>
      </c>
      <c r="DI89" s="87">
        <f ca="1"/>
        <v>5835</v>
      </c>
      <c r="DJ89" s="90">
        <f t="shared" ca="1" si="6"/>
        <v>-49.950368000000246</v>
      </c>
      <c r="DK89" t="str">
        <f ca="1">_xlfn.XLOOKUP(DI89,TabCalc[Column1],TabCalc[Ticker])</f>
        <v>DSY</v>
      </c>
      <c r="DL89" s="87">
        <f ca="1">_xlfn.XLOOKUP(DK89,TabCalc[Ticker],TabCalc[ValueBegin])</f>
        <v>-250</v>
      </c>
      <c r="DM89" s="87">
        <f ca="1">_xlfn.XLOOKUP(DK89,TabCalc[Ticker],TabCalc[M_V])</f>
        <v>93360</v>
      </c>
      <c r="DN89" s="87">
        <f ca="1">_xlfn.XLOOKUP(DK89,TabCalc[Ticker],TabCalc[GL])</f>
        <v>-12487.592000000062</v>
      </c>
      <c r="DO89" s="90"/>
      <c r="DP89" s="90"/>
      <c r="DQ89" s="316" t="s">
        <v>84</v>
      </c>
      <c r="DR89" s="81">
        <v>1100</v>
      </c>
      <c r="DS89" s="315">
        <v>-71.47</v>
      </c>
      <c r="DU89" s="82">
        <v>186960</v>
      </c>
      <c r="DV89" s="82">
        <f ca="1">DU89-TabCalc[[#This Row],[M_V]]</f>
        <v>16680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37.43</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1.9057999999999999E-2</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0.31873675917020505</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-7854.99999999999</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-5434</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-800</v>
      </c>
      <c r="AR90" s="334">
        <f ca="1">_xlfn.LET(_xlpm.MVToday,DataShift!AV590,         _xlpm.MVY,DataShift!AU590,        _xlpm.MVYY, DataShift!AT590,         _xlpm.MVYYY, DataShift!AS590,                      IF(_xlpm.MVToday=_xlpm.MVY,      _xlpm.MVYY-_xlpm.MVYYY,          _xlpm.MVY-_xlpm.MVYY))</f>
        <v>384</v>
      </c>
      <c r="AS90" s="984">
        <f ca="1">TabCalc[[#This Row],[Y]]/TabCalc[[#This Row],[M]]</f>
        <v>1.1064766230296552</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-4.0835736292943833E-2</v>
      </c>
      <c r="AY90" s="82">
        <f t="shared" ca="1" si="8"/>
        <v>2700</v>
      </c>
      <c r="AZ90" s="90">
        <f ca="1">_xlfn.XLOOKUP(TabCalc[[#This Row],[Ticker]],[1]!RTData[Ticker_Symbol],[1]!RTData[V/VA])</f>
        <v>0.49833028033451637</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0.49833028033451637</v>
      </c>
      <c r="BC90" s="87" cm="1">
        <f t="array" aca="1" ref="BC90" ca="1">INDEX(TabReg[], 1, _xlfn.XMATCH(TabCalc[[#This Row],[Ticker]]&amp;1, TabReg[#Headers], 0))</f>
        <v>2700</v>
      </c>
      <c r="BD90" s="159">
        <f ca="1">TabCalc[[#This Row],[Nbegin]]*TabCalc[[#This Row],[M]]*TabCalc[[#This Row],[Scale]]+TabCalc[[#This Row],[ValueBegin]]</f>
        <v>19224</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45968.870796642972</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2.0101062542981548E-2</v>
      </c>
      <c r="DC90" s="310">
        <f ca="1">MEDIAN(DataShift!F789:Z789)</f>
        <v>-1.843E-3</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101061</v>
      </c>
      <c r="DF90" s="87" cm="1">
        <f t="array" aca="1" ref="DF90" ca="1">SUMPRODUCT(ISNUMBER(INDIRECT("TabReg["&amp;TabCalc[[#This Row],[Ticker]]&amp;"2]"))* INDIRECT("TabReg["&amp;TabCalc[[#This Row],[Ticker]]&amp;"1]") * INDIRECT("TabReg["&amp;TabCalc[[#This Row],[Ticker]]&amp;"2]") )*TabCalc[[#This Row],[Scale]]</f>
        <v>9803.4699999999721</v>
      </c>
      <c r="DI90" s="87">
        <f ca="1"/>
        <v>5278.7999999999993</v>
      </c>
      <c r="DJ90" s="90">
        <f t="shared" ca="1" si="6"/>
        <v>-1.0205793314805793</v>
      </c>
      <c r="DK90" t="str">
        <f ca="1">_xlfn.XLOOKUP(DI90,TabCalc[Column1],TabCalc[Ticker])</f>
        <v>XPER</v>
      </c>
      <c r="DL90" s="87">
        <f ca="1">_xlfn.XLOOKUP(DK90,TabCalc[Ticker],TabCalc[ValueBegin])</f>
        <v>-55366.229999999996</v>
      </c>
      <c r="DM90" s="87">
        <f ca="1">_xlfn.XLOOKUP(DK90,TabCalc[Ticker],TabCalc[M_V])</f>
        <v>65985</v>
      </c>
      <c r="DN90" s="87">
        <f ca="1">_xlfn.XLOOKUP(DK90,TabCalc[Ticker],TabCalc[GL])</f>
        <v>-56505.62999999999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39312</v>
      </c>
      <c r="G91" s="82">
        <f ca="1">IFERROR(TabCalc[[#This Row],[SB]]-TabCalc[[#This Row],[SST]],TabCalc[[#This Row],[SB]])</f>
        <v>600</v>
      </c>
      <c r="H91" s="532" t="str">
        <f ca="1">[1]!RTData[[#This Row],[Ticker_Symbol]]</f>
        <v>XYZ</v>
      </c>
      <c r="I91" s="383">
        <f ca="1">_xlfn.XLOOKUP(TabCalc[[#This Row],[Ticker]],[1]!RTData[Ticker_Symbol],[1]!RTData[M-Price])</f>
        <v>65.52</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-7.6272000000000006E-2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-0.28541309206141485</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-6852.0000000000009</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3227.9999999999973</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-8519.9999999999964</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3449.9999999999959</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2850</v>
      </c>
      <c r="AQ91" s="334">
        <f ca="1">_xlfn.LET(_xlpm.MVToday,DataShift!AV591,         _xlpm.MVY,DataShift!AU591,        _xlpm.MVYY, DataShift!AT591,                                IF(_xlpm.MVToday=_xlpm.MVY,_xlpm.MVY-_xlpm.MVYY,_xlpm.MVToday-_xlpm.MVY))</f>
        <v>-18120</v>
      </c>
      <c r="AR91" s="334">
        <f ca="1">_xlfn.LET(_xlpm.MVToday,DataShift!AV591,         _xlpm.MVY,DataShift!AU591,        _xlpm.MVYY, DataShift!AT591,         _xlpm.MVYYY, DataShift!AS591,                      IF(_xlpm.MVToday=_xlpm.MVY,      _xlpm.MVYY-_xlpm.MVYYY,          _xlpm.MVY-_xlpm.MVYY))</f>
        <v>1440</v>
      </c>
      <c r="AS91" s="984">
        <f ca="1">TabCalc[[#This Row],[Y]]/TabCalc[[#This Row],[M]]</f>
        <v>1.3508128815628817</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-2.09413796875827</v>
      </c>
      <c r="AY91" s="82">
        <f t="shared" ca="1" si="8"/>
        <v>0</v>
      </c>
      <c r="AZ91" s="90">
        <f ca="1">_xlfn.XLOOKUP(TabCalc[[#This Row],[Ticker]],[1]!RTData[Ticker_Symbol],[1]!RTData[V/VA])</f>
        <v>3.4106299247859022</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3.4106299247859022</v>
      </c>
      <c r="BC91" s="87" cm="1">
        <f t="array" aca="1" ref="BC91" ca="1">INDEX(TabReg[], 1, _xlfn.XMATCH(TabCalc[[#This Row],[Ticker]]&amp;1, TabReg[#Headers], 0))</f>
        <v>450</v>
      </c>
      <c r="BD91" s="159">
        <f ca="1">TabCalc[[#This Row],[Nbegin]]*TabCalc[[#This Row],[M]]*TabCalc[[#This Row],[Scale]]+TabCalc[[#This Row],[ValueBegin]]</f>
        <v>-88816.5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-78988.5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-168334.90000000002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45968.87078188594</v>
      </c>
      <c r="BT91" s="175">
        <f ca="1">(TabCalc[[#This Row],[ValueBegin]]+(TabCalc[[#This Row],[M]]-TabCalc[[#This Row],[A]])*TabCalc[[#This Row],[NAfter]])*TabCalc[[#This Row],[Scale]]</f>
        <v>-125152.5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-6852.0000000000009</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-6852.0000000000009</v>
      </c>
      <c r="DB91" s="90">
        <f ca="1">IFERROR((TabCalc[[#This Row],[M]]+TabCalc[[#This Row],[L_Bp]])/ABS(TabCalc[[#This Row],[L_Bp]])/(TODAY()-TabCalc[[#This Row],[L_Bdate]])*360,"")</f>
        <v>-1.090486623555063</v>
      </c>
      <c r="DC91" s="310">
        <f ca="1">MEDIAN(DataShift!F790:Z790)</f>
        <v>6.4099999999999999E-3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29484</v>
      </c>
      <c r="DF91" s="87" cm="1">
        <f t="array" aca="1" ref="DF91" ca="1">SUMPRODUCT(ISNUMBER(INDIRECT("TabReg["&amp;TabCalc[[#This Row],[Ticker]]&amp;"2]"))* INDIRECT("TabReg["&amp;TabCalc[[#This Row],[Ticker]]&amp;"1]") * INDIRECT("TabReg["&amp;TabCalc[[#This Row],[Ticker]]&amp;"2]") )*TabCalc[[#This Row],[Scale]]</f>
        <v>-207646.90000000002</v>
      </c>
      <c r="DI91" s="87">
        <f ca="1"/>
        <v>4905</v>
      </c>
      <c r="DJ91" s="90">
        <f t="shared" ca="1" si="6"/>
        <v>-20.73031516431379</v>
      </c>
      <c r="DK91" t="str">
        <f ca="1">_xlfn.XLOOKUP(DI91,TabCalc[Column1],TabCalc[Ticker])</f>
        <v>MRNA</v>
      </c>
      <c r="DL91" s="87">
        <f ca="1">_xlfn.XLOOKUP(DK91,TabCalc[Ticker],TabCalc[ValueBegin])</f>
        <v>-25031.07</v>
      </c>
      <c r="DM91" s="87">
        <f ca="1">_xlfn.XLOOKUP(DK91,TabCalc[Ticker],TabCalc[M_V])</f>
        <v>294300</v>
      </c>
      <c r="DN91" s="87">
        <f ca="1">_xlfn.XLOOKUP(DK91,TabCalc[Ticker],TabCalc[GL])</f>
        <v>-518901.97</v>
      </c>
      <c r="DO91" s="90"/>
      <c r="DP91" s="90"/>
      <c r="DQ91" s="88" t="s">
        <v>86</v>
      </c>
      <c r="DR91" s="81">
        <v>2700</v>
      </c>
      <c r="DS91" s="315">
        <v>-30.31</v>
      </c>
      <c r="DU91" s="82">
        <v>43554</v>
      </c>
      <c r="DV91" s="82">
        <f ca="1">DU91-TabCalc[[#This Row],[M_V]]</f>
        <v>4242</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307267.5</v>
      </c>
      <c r="G92" s="82">
        <f ca="1">IFERROR(TabCalc[[#This Row],[SB]]-TabCalc[[#This Row],[SST]],TabCalc[[#This Row],[SB]])</f>
        <v>1500</v>
      </c>
      <c r="H92" s="532" t="str">
        <f ca="1">[1]!RTData[[#This Row],[Ticker_Symbol]]</f>
        <v>THC</v>
      </c>
      <c r="I92" s="383">
        <f ca="1">_xlfn.XLOOKUP(TabCalc[[#This Row],[Ticker]],[1]!RTData[Ticker_Symbol],[1]!RTData[M-Price])</f>
        <v>204.845</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3.2079999999999999E-3</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4.447888534370744E-2</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1081.4999999999968</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52664.999999999993</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-305.00000000000682</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-2641.2499999999995</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502.5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1.1209404671825038</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-0.32326430008059032</v>
      </c>
      <c r="AY92" s="82">
        <f t="shared" ca="1" si="8"/>
        <v>500</v>
      </c>
      <c r="AZ92" s="90">
        <f ca="1">_xlfn.XLOOKUP(TabCalc[[#This Row],[Ticker]],[1]!RTData[Ticker_Symbol],[1]!RTData[V/VA])</f>
        <v>0.3401580045479054</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0.3401580045479054</v>
      </c>
      <c r="BC92" s="87" cm="1">
        <f t="array" aca="1" ref="BC92" ca="1">INDEX(TabReg[], 1, _xlfn.XMATCH(TabCalc[[#This Row],[Ticker]]&amp;1, TabReg[#Headers], 0))</f>
        <v>2000</v>
      </c>
      <c r="BD92" s="159">
        <f ca="1">TabCalc[[#This Row],[Nbegin]]*TabCalc[[#This Row],[M]]*TabCalc[[#This Row],[Scale]]+TabCalc[[#This Row],[ValueBegin]]</f>
        <v>317550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215127.5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300433.348</v>
      </c>
      <c r="BM92" s="159">
        <f ca="1">IF(        OR( TabCalc[[#This Row],[GL]]&gt;ABS(TabCalc[[#This Row],[EfCost]]),TabCalc[[#This Row],[NAfter]]=0),             TabCalc[[#This Row],[GL]],     0)</f>
        <v>300433.348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4" t="str">
        <f ca="1">IF(TabCalc[[#This Row],[EfCost]]+TabCalc[[#This Row],[M_V]]&lt;TabCalc[[#This Row],[NoT_GL]],"Pile","")</f>
        <v>Pile</v>
      </c>
      <c r="BS92" s="165">
        <f ca="1">_xlfn.XLOOKUP(TabCalc[[#This Row],[Ticker]],[1]!RTData[Ticker_Symbol],[1]!RTData[Last trade time])</f>
        <v>45968.870676296094</v>
      </c>
      <c r="BT92" s="175">
        <f ca="1">(TabCalc[[#This Row],[ValueBegin]]+(TabCalc[[#This Row],[M]]-TabCalc[[#This Row],[A]])*TabCalc[[#This Row],[NAfter]])*TabCalc[[#This Row],[Scale]]</f>
        <v>-25594.385000000009</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66545.614999999991</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0</v>
      </c>
      <c r="CV92" s="404">
        <f ca="1">IF(TabCalc[[#This Row],[ntoBuy]]*TabCalc[[#This Row],[M]]&lt;=0,0,TabCalc[[#This Row],[ntoBuy]]*TabCalc[[#This Row],[M]])</f>
        <v>0</v>
      </c>
      <c r="CW92" s="404">
        <f ca="1">IF(TabCalc[[#This Row],[M]]&gt;ABS(TabCalc[[#This Row],[L_Bp]]),MIN(TabCalc[[#This Row],[NAfter]],DesiredSaleGain/(TabCalc[[#This Row],[M]]+TabCalc[[#This Row],[L_Bp]])),0)/TabCalc[[#This Row],[Scale]]</f>
        <v>1386.9625520110997</v>
      </c>
      <c r="CX92" s="405">
        <f ca="1">TabCalc[[#This Row],[ntoSell]]*TabCalc[[#This Row],[M]]</f>
        <v>284112.3439667137</v>
      </c>
      <c r="CY92" s="398">
        <f ca="1">_xlfn.LET(_xlpm.nToSell,IF(TabCalc[[#This Row],[M]]-TabCalc[[#This Row],[A]]&lt;=0,"",INT(DesiredSaleGain/(TabCalc[[#This Row],[M]]-IF(TabCalc[[#This Row],[E]]&gt;0,0,TabCalc[[#This Row],[A]])))),IF(_xlpm.nToSell&lt;=TabCalc[[#This Row],[NAfter]],_xlpm.nToSell,0))</f>
        <v>112</v>
      </c>
      <c r="CZ92" s="336">
        <f ca="1">IFERROR(TabCalc[[#This Row],[NMA]]*TabCalc[[#This Row],[M]],"")</f>
        <v>22942.639999999999</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66545.614999999991</v>
      </c>
      <c r="DB92" s="90">
        <f ca="1">IFERROR((TabCalc[[#This Row],[M]]+TabCalc[[#This Row],[L_Bp]])/ABS(TabCalc[[#This Row],[L_Bp]])/(TODAY()-TabCalc[[#This Row],[L_Bdate]])*360,"")</f>
        <v>0.21496720333929575</v>
      </c>
      <c r="DC92" s="310">
        <f ca="1">MEDIAN(DataShift!F791:Z791)</f>
        <v>-6.9110000000000005E-3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409690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4327.5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0.37830940970587523</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-3432</v>
      </c>
      <c r="AR93" s="334">
        <f ca="1">_xlfn.LET(_xlpm.MVToday,DataShift!AV593,         _xlpm.MVY,DataShift!AU593,        _xlpm.MVYY, DataShift!AT593,         _xlpm.MVYYY, DataShift!AS593,                      IF(_xlpm.MVToday=_xlpm.MVY,      _xlpm.MVYY-_xlpm.MVYYY,          _xlpm.MVY-_xlpm.MVYY))</f>
        <v>-1446</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0.9017271786728438</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1980</v>
      </c>
      <c r="DJ93" s="90">
        <f t="shared" ca="1" si="6"/>
        <v>-0.83257213828236376</v>
      </c>
      <c r="DK93" t="str">
        <f ca="1">_xlfn.XLOOKUP(DI93,TabCalc[Column1],TabCalc[Ticker])</f>
        <v>PW</v>
      </c>
      <c r="DL93" s="87">
        <f ca="1">_xlfn.XLOOKUP(DK93,TabCalc[Ticker],TabCalc[ValueBegin])</f>
        <v>-9500.85</v>
      </c>
      <c r="DM93" s="87">
        <f ca="1">_xlfn.XLOOKUP(DK93,TabCalc[Ticker],TabCalc[M_V])</f>
        <v>6600</v>
      </c>
      <c r="DN93" s="87">
        <f ca="1">_xlfn.XLOOKUP(DK93,TabCalc[Ticker],TabCalc[GL])</f>
        <v>-7910.1429999999964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784415.39999999991</v>
      </c>
      <c r="G94" s="82">
        <f ca="1">IFERROR(TabCalc[[#This Row],[SB]]-TabCalc[[#This Row],[SST]],TabCalc[[#This Row],[SB]])</f>
        <v>77100</v>
      </c>
      <c r="H94" s="532" t="str">
        <f ca="1">[1]!RTData[[#This Row],[Ticker_Symbol]]</f>
        <v>LOCK</v>
      </c>
      <c r="I94" s="383">
        <f ca="1">_xlfn.XLOOKUP(TabCalc[[#This Row],[Ticker]],[1]!RTData[Ticker_Symbol],[1]!RTData[M-Price])</f>
        <v>10.173999999999999</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-2.5490000000000001E-3</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-5.2799002723983891E-2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-40,468 = $ -411,722</v>
      </c>
      <c r="Z94" s="211">
        <f ca="1">MIN(TabCalc[[#This Row],[L_Bn]],TabCalc[[#This Row],[NAfter]])*(TabCalc[[#This Row],[M]]+TabCalc[[#This Row],[L_Bp]])*TabCalc[[#This Row],[Scale]]</f>
        <v>372701.39999999997</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-4009.2000000001863</v>
      </c>
      <c r="AQ94" s="334">
        <f ca="1">_xlfn.LET(_xlpm.MVToday,DataShift!AV594,         _xlpm.MVY,DataShift!AU594,        _xlpm.MVYY, DataShift!AT594,                                IF(_xlpm.MVToday=_xlpm.MVY,_xlpm.MVY-_xlpm.MVYY,_xlpm.MVToday-_xlpm.MVY))</f>
        <v>-1477.5</v>
      </c>
      <c r="AR94" s="334">
        <f ca="1">_xlfn.LET(_xlpm.MVToday,DataShift!AV594,         _xlpm.MVY,DataShift!AU594,        _xlpm.MVYY, DataShift!AT594,         _xlpm.MVYYY, DataShift!AS594,                      IF(_xlpm.MVToday=_xlpm.MVY,      _xlpm.MVYY-_xlpm.MVYYY,          _xlpm.MVY-_xlpm.MVYY))</f>
        <v>-4185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372701.39999999991</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372701.39999999991</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372701.39999999991</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45968.729178240741</v>
      </c>
      <c r="BT94" s="175">
        <f ca="1">(TabCalc[[#This Row],[ValueBegin]]+(TabCalc[[#This Row],[M]]-TabCalc[[#This Row],[A]])*TabCalc[[#This Row],[NAfter]])*TabCalc[[#This Row],[Scale]]</f>
        <v>-39012.600000000035</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372701.39999999997</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1034.3400910219282</v>
      </c>
      <c r="CX94" s="405">
        <f ca="1">TabCalc[[#This Row],[ntoSell]]*TabCalc[[#This Row],[M]]</f>
        <v>10523.376086057096</v>
      </c>
      <c r="CY94" s="398">
        <f ca="1">_xlfn.LET(_xlpm.nToSell,IF(TabCalc[[#This Row],[M]]-TabCalc[[#This Row],[A]]&lt;=0,"",INT(DesiredSaleGain/(TabCalc[[#This Row],[M]]-IF(TabCalc[[#This Row],[E]]&gt;0,0,TabCalc[[#This Row],[A]])))),IF(_xlpm.nToSell&lt;=TabCalc[[#This Row],[NAfter]],_xlpm.nToSell,0))</f>
        <v>1034</v>
      </c>
      <c r="CZ94" s="336">
        <f ca="1">IFERROR(TabCalc[[#This Row],[NMA]]*TabCalc[[#This Row],[M]],"")</f>
        <v>10519.915999999999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372701.39999999997</v>
      </c>
      <c r="DB94" s="90">
        <f ca="1">IFERROR((TabCalc[[#This Row],[M]]+TabCalc[[#This Row],[L_Bp]])/ABS(TabCalc[[#This Row],[L_Bp]])/(TODAY()-TabCalc[[#This Row],[L_Bdate]])*360,"")</f>
        <v>0.25823109385850884</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784415.39999999991</v>
      </c>
      <c r="DF94" s="87" cm="1">
        <f t="array" aca="1" ref="DF94" ca="1">SUMPRODUCT(ISNUMBER(INDIRECT("TabReg["&amp;TabCalc[[#This Row],[Ticker]]&amp;"2]"))* INDIRECT("TabReg["&amp;TabCalc[[#This Row],[Ticker]]&amp;"1]") * INDIRECT("TabReg["&amp;TabCalc[[#This Row],[Ticker]]&amp;"2]") )*TabCalc[[#This Row],[Scale]]</f>
        <v>-411714</v>
      </c>
      <c r="DI94" s="87">
        <f ca="1"/>
        <v>1891.25</v>
      </c>
      <c r="DJ94" s="90">
        <f t="shared" ca="1" si="6"/>
        <v>-3.2566470232519529</v>
      </c>
      <c r="DK94" t="str">
        <f ca="1">_xlfn.XLOOKUP(DI94,TabCalc[Column1],TabCalc[Ticker])</f>
        <v>SAFDDD</v>
      </c>
      <c r="DL94" s="87">
        <f ca="1">_xlfn.XLOOKUP(DK94,TabCalc[Ticker],TabCalc[ValueBegin])</f>
        <v>-42168.5</v>
      </c>
      <c r="DM94" s="87">
        <f ca="1">_xlfn.XLOOKUP(DK94,TabCalc[Ticker],TabCalc[M_V])</f>
        <v>244750</v>
      </c>
      <c r="DN94" s="87">
        <f ca="1">_xlfn.XLOOKUP(DK94,TabCalc[Ticker],TabCalc[GL])</f>
        <v>-137327.91999999998</v>
      </c>
      <c r="DO94" s="90"/>
      <c r="DP94" s="90"/>
      <c r="DQ94" s="88" t="s">
        <v>89</v>
      </c>
      <c r="DR94" s="81">
        <v>3200</v>
      </c>
      <c r="DS94" s="315">
        <v>-26.21</v>
      </c>
      <c r="DU94" s="82">
        <v>801994.2</v>
      </c>
      <c r="DV94" s="82">
        <f ca="1">DU94-TabCalc[[#This Row],[M_V]]</f>
        <v>17578.800000000047</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174160</v>
      </c>
      <c r="G95" s="82">
        <f ca="1">IFERROR(TabCalc[[#This Row],[SB]]-TabCalc[[#This Row],[SST]],TabCalc[[#This Row],[SB]])</f>
        <v>200</v>
      </c>
      <c r="H95" s="532" t="str">
        <f ca="1">[1]!RTData[[#This Row],[Ticker_Symbol]]</f>
        <v>JBASML</v>
      </c>
      <c r="I95" s="383">
        <f ca="1">_xlfn.XLOOKUP(TabCalc[[#This Row],[Ticker]],[1]!RTData[Ticker_Symbol],[1]!RTData[M-Price])</f>
        <v>870.8</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-2.7365E-2</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29411.999999999989</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-12779.999999999973</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-5640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1.08165280202113</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-0.4382720940213648</v>
      </c>
      <c r="AY95" s="82">
        <f t="shared" ca="1" si="8"/>
        <v>300</v>
      </c>
      <c r="AZ95" s="90">
        <f ca="1">_xlfn.XLOOKUP(TabCalc[[#This Row],[Ticker]],[1]!RTData[Ticker_Symbol],[1]!RTData[V/VA])</f>
        <v>1.4227731762002704</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1.4227731762002704</v>
      </c>
      <c r="BC95" s="87" cm="1">
        <f t="array" aca="1" ref="BC95" ca="1">INDEX(TabReg[], 1, _xlfn.XMATCH(TabCalc[[#This Row],[Ticker]]&amp;1, TabReg[#Headers], 0))</f>
        <v>500</v>
      </c>
      <c r="BD95" s="159">
        <f ca="1">TabCalc[[#This Row],[Nbegin]]*TabCalc[[#This Row],[M]]*TabCalc[[#This Row],[Scale]]+TabCalc[[#This Row],[ValueBegin]]</f>
        <v>73530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-187710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60750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45968.708333333336</v>
      </c>
      <c r="BT95" s="175">
        <f ca="1">(TabCalc[[#This Row],[ValueBegin]]+(TabCalc[[#This Row],[M]]-TabCalc[[#This Row],[A]])*TabCalc[[#This Row],[NAfter]])*TabCalc[[#This Row],[Scale]]</f>
        <v>-332458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29411.999999999989</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33.999728002175992</v>
      </c>
      <c r="CX95" s="405">
        <f ca="1">TabCalc[[#This Row],[ntoSell]]*TabCalc[[#This Row],[M]]</f>
        <v>29606.963144294852</v>
      </c>
      <c r="CY95" s="398">
        <f ca="1">_xlfn.LET(_xlpm.nToSell,IF(TabCalc[[#This Row],[M]]-TabCalc[[#This Row],[A]]&lt;=0,"",INT(DesiredSaleGain/(TabCalc[[#This Row],[M]]-IF(TabCalc[[#This Row],[E]]&gt;0,0,TabCalc[[#This Row],[A]])))),IF(_xlpm.nToSell&lt;=TabCalc[[#This Row],[NAfter]],_xlpm.nToSell,0))</f>
        <v>33</v>
      </c>
      <c r="CZ95" s="336">
        <f ca="1">IFERROR(TabCalc[[#This Row],[NMA]]*TabCalc[[#This Row],[M]],"")</f>
        <v>28736.399999999998</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29411.999999999989</v>
      </c>
      <c r="DB95" s="90">
        <f ca="1">IFERROR((TabCalc[[#This Row],[M]]+TabCalc[[#This Row],[L_Bp]])/ABS(TabCalc[[#This Row],[L_Bp]])/(TODAY()-TabCalc[[#This Row],[L_Bdate]])*360,"")</f>
        <v>0.24629638468862494</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435400</v>
      </c>
      <c r="DF95" s="87" cm="1">
        <f t="array" aca="1" ref="DF95" ca="1">SUMPRODUCT(ISNUMBER(INDIRECT("TabReg["&amp;TabCalc[[#This Row],[Ticker]]&amp;"2]"))* INDIRECT("TabReg["&amp;TabCalc[[#This Row],[Ticker]]&amp;"1]") * INDIRECT("TabReg["&amp;TabCalc[[#This Row],[Ticker]]&amp;"2]") )*TabCalc[[#This Row],[Scale]]</f>
        <v>-113410</v>
      </c>
      <c r="DI95" s="87">
        <f ca="1"/>
        <v>1282.5</v>
      </c>
      <c r="DJ95" s="90">
        <f t="shared" ca="1" si="6"/>
        <v>-0.27080930112322293</v>
      </c>
      <c r="DK95" t="str">
        <f ca="1">_xlfn.XLOOKUP(DI95,TabCalc[Column1],TabCalc[Ticker])</f>
        <v>MVEUN0</v>
      </c>
      <c r="DL95" s="87">
        <f ca="1">_xlfn.XLOOKUP(DK95,TabCalc[Ticker],TabCalc[ValueBegin])</f>
        <v>-3543.4214999999999</v>
      </c>
      <c r="DM95" s="87">
        <f ca="1">_xlfn.XLOOKUP(DK95,TabCalc[Ticker],TabCalc[M_V])</f>
        <v>15960</v>
      </c>
      <c r="DN95" s="87">
        <f ca="1">_xlfn.XLOOKUP(DK95,TabCalc[Ticker],TabCalc[GL])</f>
        <v>-959.59150000000227</v>
      </c>
      <c r="DO95" s="90"/>
      <c r="DP95" s="90"/>
      <c r="DQ95" s="88" t="s">
        <v>1556</v>
      </c>
      <c r="DR95" s="81">
        <v>77100</v>
      </c>
      <c r="DS95" s="315">
        <v>-5.34</v>
      </c>
      <c r="DU95" s="82">
        <v>183600</v>
      </c>
      <c r="DV95" s="82">
        <f ca="1">DU95-TabCalc[[#This Row],[M_V]]</f>
        <v>9440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289890</v>
      </c>
      <c r="G96" s="82">
        <f ca="1">IFERROR(TabCalc[[#This Row],[SB]]-TabCalc[[#This Row],[SST]],TabCalc[[#This Row],[SB]])</f>
        <v>18000</v>
      </c>
      <c r="H96" s="532" t="str">
        <f ca="1">[1]!RTData[[#This Row],[Ticker_Symbol]]</f>
        <v>JBEOAN</v>
      </c>
      <c r="I96" s="383">
        <f ca="1">_xlfn.XLOOKUP(TabCalc[[#This Row],[Ticker]],[1]!RTData[Ticker_Symbol],[1]!RTData[M-Price])</f>
        <v>16.105</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1.555E-3</v>
      </c>
      <c r="N96" s="1077">
        <v>0</v>
      </c>
      <c r="O96" s="899">
        <f>TabCalc[[#This Row],[Up20]]-1+TabCalc[[#This Row],[Up20]]</f>
        <v>-1</v>
      </c>
      <c r="P96" s="899">
        <f>TabCalc[[#This Row],[Up20]]-TabCalc[[#This Row],[Up150]]</f>
        <v>-0.5</v>
      </c>
      <c r="Q96" s="899">
        <v>0.5</v>
      </c>
      <c r="R96" s="899">
        <f>TabCalc[[#This Row],[Up150]]-1+TabCalc[[#This Row],[Up150]]</f>
        <v>0</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0.36673091143961523</v>
      </c>
      <c r="U96" s="1013">
        <v>18000</v>
      </c>
      <c r="V96" s="1013">
        <v>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6425.0000000000009</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1672.4610000000002</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45.000000000001705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-1739.999999999995</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0</v>
      </c>
      <c r="AQ96" s="334">
        <f ca="1">_xlfn.LET(_xlpm.MVToday,DataShift!AV596,         _xlpm.MVY,DataShift!AU598,        _xlpm.MVYY, DataShift!AT598,                                IF(_xlpm.MVToday=_xlpm.MVY,_xlpm.MVY-_xlpm.MVYY,_xlpm.MVToday-_xlpm.MVY))</f>
        <v>494525.39999999991</v>
      </c>
      <c r="AR96" s="334">
        <f ca="1">_xlfn.LET(_xlpm.MVToday,DataShift!AV596,         _xlpm.MVY,DataShift!AU598,        _xlpm.MVYY, DataShift!AT598,         _xlpm.MVYYY, DataShift!AS598,                      IF(_xlpm.MVToday=_xlpm.MVY,      _xlpm.MVYY-_xlpm.MVYYY,          _xlpm.MVY-_xlpm.MVYY))</f>
        <v>450.00000000005821</v>
      </c>
      <c r="AS96" s="984">
        <f ca="1">TabCalc[[#This Row],[Y]]/TabCalc[[#This Row],[M]]</f>
        <v>1.0505799441167338</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-1.9836573644380793E-3</v>
      </c>
      <c r="AY96" s="82">
        <f t="shared" ca="1" si="8"/>
        <v>32000</v>
      </c>
      <c r="AZ96" s="90">
        <f ca="1">_xlfn.XLOOKUP(TabCalc[[#This Row],[Ticker]],[1]!RTData[Ticker_Symbol],[1]!RTData[V/VA])</f>
        <v>1.3773604663339033E-3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1.3773604663339033E-3</v>
      </c>
      <c r="BC96" s="87" cm="1">
        <f t="array" aca="1" ref="BC96" ca="1">INDEX(TabReg[], 1, _xlfn.XMATCH(TabCalc[[#This Row],[Ticker]]&amp;1, TabReg[#Headers], 0))</f>
        <v>50000</v>
      </c>
      <c r="BD96" s="159">
        <f ca="1">TabCalc[[#This Row],[Nbegin]]*TabCalc[[#This Row],[M]]*TabCalc[[#This Row],[Scale]]+TabCalc[[#This Row],[ValueBegin]]</f>
        <v>354250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-161110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319043.02100000001</v>
      </c>
      <c r="BM96" s="159">
        <f ca="1">IF(        OR( TabCalc[[#This Row],[GL]]&gt;ABS(TabCalc[[#This Row],[EfCost]]),TabCalc[[#This Row],[NAfter]]=0),             TabCalc[[#This Row],[GL]],     0)</f>
        <v>319043.02100000001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 trade time])</f>
        <v>45968.857638888891</v>
      </c>
      <c r="BT96" s="175">
        <f ca="1">(TabCalc[[#This Row],[ValueBegin]]+(TabCalc[[#This Row],[M]]-TabCalc[[#This Row],[A]])*TabCalc[[#This Row],[NAfter]])*TabCalc[[#This Row],[Scale]]</f>
        <v>-419177.53899999999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31822.461000000028</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333333.33333332068</v>
      </c>
      <c r="CV96" s="404">
        <f ca="1">IF(TabCalc[[#This Row],[ntoBuy]]*TabCalc[[#This Row],[M]]&lt;=0,0,TabCalc[[#This Row],[ntoBuy]]*TabCalc[[#This Row],[M]])</f>
        <v>5368333.33333313</v>
      </c>
      <c r="CW96" s="404">
        <f ca="1">IF(TabCalc[[#This Row],[M]]&gt;ABS(TabCalc[[#This Row],[L_Bp]]),MIN(TabCalc[[#This Row],[NAfter]],DesiredSaleGain/(TabCalc[[#This Row],[M]]+TabCalc[[#This Row],[L_Bp]])),0)/TabCalc[[#This Row],[Scale]]</f>
        <v>3891.0505836575871</v>
      </c>
      <c r="CX96" s="405">
        <f ca="1">TabCalc[[#This Row],[ntoSell]]*TabCalc[[#This Row],[M]]</f>
        <v>62665.369649805441</v>
      </c>
      <c r="CY96" s="399">
        <f ca="1">_xlfn.LET(_xlpm.nToSell,IF(TabCalc[[#This Row],[M]]-TabCalc[[#This Row],[A]]&lt;=0,"",INT(DesiredSaleGain/(TabCalc[[#This Row],[M]]-IF(TabCalc[[#This Row],[E]]&gt;0,0,TabCalc[[#This Row],[A]])))),IF(_xlpm.nToSell&lt;=TabCalc[[#This Row],[NAfter]],_xlpm.nToSell,0))</f>
        <v>2828</v>
      </c>
      <c r="CZ96" s="336">
        <f ca="1">IFERROR(TabCalc[[#This Row],[NMA]]*TabCalc[[#This Row],[M]],"")</f>
        <v>45544.94</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31822.461000000028</v>
      </c>
      <c r="DB96" s="90">
        <f ca="1">IFERROR((TabCalc[[#This Row],[M]]+TabCalc[[#This Row],[L_Bp]])/ABS(TabCalc[[#This Row],[L_Bp]])/(TODAY()-TabCalc[[#This Row],[L_Bdate]])*360,"")</f>
        <v>0.47294810452705194</v>
      </c>
      <c r="DC96" s="310">
        <f ca="1">MEDIAN(DataShift!F795:Z795)</f>
        <v>-2.5490000000000001E-3</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805250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-6390</v>
      </c>
    </row>
    <row r="97" spans="1:109" ht="23" thickBot="1" x14ac:dyDescent="0.35">
      <c r="A97" s="216"/>
      <c r="B97" s="216"/>
      <c r="D97" s="216"/>
      <c r="E97" s="85">
        <f ca="1">SUBTOTAL(109,TabCalc[ValueBegin])</f>
        <v>-25594821.556763712</v>
      </c>
      <c r="F97" s="82">
        <f ca="1">SUBTOTAL(109,TabCalc[M_V])</f>
        <v>34030380.475000001</v>
      </c>
      <c r="H97" t="s">
        <v>1086</v>
      </c>
      <c r="I97" s="216"/>
      <c r="J97" s="217"/>
      <c r="K97" s="34"/>
      <c r="L97" s="217"/>
      <c r="M97" s="733"/>
      <c r="N97" s="896"/>
      <c r="O97" s="895"/>
      <c r="P97" s="895"/>
      <c r="Q97" s="895"/>
      <c r="R97" s="895"/>
      <c r="S97" s="733">
        <f ca="1">SUBTOTAL(101,TabCalc[DPWC150])</f>
        <v>-0.58908118418389632</v>
      </c>
      <c r="T97" s="733">
        <f ca="1">SUBTOTAL(101,TabCalc[DPWC20])</f>
        <v>5.3260103582162426E-2</v>
      </c>
      <c r="U97" s="733"/>
      <c r="V97" s="733"/>
      <c r="W97" s="11">
        <f>SUBTOTAL(103,TabCalc[NMZ])</f>
        <v>94</v>
      </c>
      <c r="X97" s="11">
        <f ca="1">COUNTIF(TabCalc[Type],"Pile")</f>
        <v>43</v>
      </c>
      <c r="Y97" s="216"/>
      <c r="Z97" s="368">
        <f ca="1">SUBTOTAL(109,TabCalc[Rev(MinStock)])</f>
        <v>276772.26030699996</v>
      </c>
      <c r="AA97" s="369"/>
      <c r="AB97" s="369"/>
      <c r="AC97" s="369"/>
      <c r="AD97" s="368">
        <f ca="1">SUBTOTAL(109,TabCalc[ReverseS1])</f>
        <v>-3601.0604919999105</v>
      </c>
      <c r="AE97" s="369"/>
      <c r="AF97" s="369"/>
      <c r="AG97" s="370"/>
      <c r="AH97" s="371">
        <f ca="1">SUBTOTAL(109,TabCalc[ReverseB])</f>
        <v>45083.221400000111</v>
      </c>
      <c r="AI97" s="372"/>
      <c r="AJ97" s="369"/>
      <c r="AK97" s="370"/>
      <c r="AL97" s="371">
        <f ca="1">SUBTOTAL(109,TabCalc[ReverseB1])</f>
        <v>113368.49299999999</v>
      </c>
      <c r="AM97" s="218"/>
      <c r="AN97" s="367"/>
      <c r="AO97" s="367"/>
      <c r="AP97" s="985">
        <f ca="1">SUBTOTAL(109,TabCalc[SaldOp])</f>
        <v>-21532.525000000205</v>
      </c>
      <c r="AQ97" s="986"/>
      <c r="AR97" s="986"/>
      <c r="AS97" s="987">
        <f ca="1">SUBTOTAL(101,TabCalc[Gravity])</f>
        <v>1.2019346771317339</v>
      </c>
      <c r="AT97" s="1"/>
      <c r="AU97" s="1"/>
      <c r="AX97" s="305">
        <f ca="1">SUBTOTAL(105,TabCalc[Repulse])</f>
        <v>-239.70163009611207</v>
      </c>
      <c r="BC97" s="1401">
        <f ca="1">SUBTOTAL(109,TabCalc[NoT_C])</f>
        <v>4969653</v>
      </c>
      <c r="BD97" s="158">
        <f ca="1">SUBTOTAL(109,TabCalc[NoT_GL])</f>
        <v>14028371.927636288</v>
      </c>
      <c r="BE97" s="158">
        <f ca="1">SUBTOTAL(109,TabCalc[GLStatus])</f>
        <v>0</v>
      </c>
      <c r="BF97" s="158">
        <f ca="1">SUBTOTAL(109,TabCalc[AddBuys])</f>
        <v>-72632403.244800016</v>
      </c>
      <c r="BG97" s="158">
        <f ca="1">SUBTOTAL(109,TabCalc[AddCash])</f>
        <v>-9276463.9139840379</v>
      </c>
      <c r="BH97" s="158">
        <f ca="1">SUBTOTAL(109,TabCalc[AddValue])</f>
        <v>8435558.9182362892</v>
      </c>
      <c r="BI97" s="158">
        <f ca="1">SUBTOTAL(109,TabCalc[Tot_Paid])</f>
        <v>-98227224.80156371</v>
      </c>
      <c r="BJ97" s="158">
        <f ca="1">SUBTOTAL(109,TabCalc[S_Income])</f>
        <v>75595454.054459721</v>
      </c>
      <c r="BK97" s="158">
        <f ca="1">SUBTOTAL(109,TabCalc[EfCost])</f>
        <v>-22179981.718754712</v>
      </c>
      <c r="BL97" s="158">
        <f ca="1">SUBTOTAL(109,TabCalc[GL])</f>
        <v>11850398.756245289</v>
      </c>
      <c r="BM97" s="158">
        <f ca="1">SUBTOTAL(109,TabCalc[Cost+Gain])</f>
        <v>11141276.59609</v>
      </c>
      <c r="BN97" s="158">
        <f ca="1">SUBTOTAL(109,TabCalc[SB])</f>
        <v>8795204</v>
      </c>
      <c r="BO97" s="158">
        <f ca="1">SUBTOTAL(109,TabCalc[SABT])</f>
        <v>3822453</v>
      </c>
      <c r="BP97" s="158">
        <f ca="1">SUBTOTAL(109,TabCalc[SST])</f>
        <v>3812324</v>
      </c>
      <c r="BQ97" s="11"/>
      <c r="BR97" s="126"/>
      <c r="BS97" s="11"/>
      <c r="BT97" s="158">
        <f ca="1">SUBTOTAL(109,TabCalc[CostReduct])</f>
        <v>-23015249.720943466</v>
      </c>
      <c r="BU97" s="218"/>
      <c r="BV97" s="11"/>
      <c r="BW97" s="11"/>
      <c r="BX97" s="11"/>
      <c r="BY97" s="11"/>
      <c r="BZ97" s="220"/>
      <c r="CA97" s="158">
        <f ca="1">SUBTOTAL(109,TabCalc[Resale(ME)])</f>
        <v>10430385.225843415</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19137139.003368162</v>
      </c>
      <c r="CW97" s="11"/>
      <c r="CX97" s="407">
        <f ca="1">SUBTOTAL(109,TabCalc[vReverse])</f>
        <v>18267501.331980683</v>
      </c>
      <c r="CY97" s="11"/>
      <c r="CZ97" s="11"/>
      <c r="DA97" s="11"/>
      <c r="DB97" s="1066">
        <f ca="1">SUBTOTAL(101,TabCalc[Ann%RevLB])</f>
        <v>0.51598433093265339</v>
      </c>
      <c r="DC97" s="1066"/>
      <c r="DD97" s="11"/>
      <c r="DE97" s="1408">
        <f ca="1">SUBTOTAL(109,TabCalc[Column1])</f>
        <v>39623193.484399989</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39623193.484399989</v>
      </c>
      <c r="AZ99" s="82">
        <f ca="1">TabCalc[[#Totals],[GLStatus]]+TabCalc[[#Totals],[EfCost]]</f>
        <v>-22179981.718754712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84" t="s">
        <v>945</v>
      </c>
      <c r="BK100" s="1485"/>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-24902171.948454715</v>
      </c>
      <c r="BQ101"/>
      <c r="BT101" s="82"/>
      <c r="BW101" t="s">
        <v>2422</v>
      </c>
    </row>
    <row r="102" spans="1:109" ht="23" thickBot="1" x14ac:dyDescent="0.35">
      <c r="AW102" t="s">
        <v>2753</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2752</v>
      </c>
      <c r="BK102" s="332" t="s">
        <v>2751</v>
      </c>
      <c r="BL102" s="846" t="s">
        <v>2750</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35680597.759999998</v>
      </c>
      <c r="AX103" s="704" t="s">
        <v>1461</v>
      </c>
      <c r="AY103" s="93">
        <f ca="1">BI103+BD103</f>
        <v>6402686.0751654804</v>
      </c>
      <c r="AZ103" s="82">
        <f ca="1">SUMIF(TabCalc[EfCost],"&gt;0",TabCalc[EfCost])</f>
        <v>2722190.2297</v>
      </c>
      <c r="BA103" s="82">
        <f ca="1">SUMIF(TabCalc[EfCost],"&lt;0",TabCalc[EfCost])</f>
        <v>-24902171.948454715</v>
      </c>
      <c r="BB103" s="93">
        <f ca="1">SUMIF(TabCalc[GL],"&gt;0",TabCalc[ValueBegin])</f>
        <v>-18101764.431799993</v>
      </c>
      <c r="BC103" s="93">
        <f ca="1">SUMIF(TabCalc[GL],"&gt;0",TabCalc[M_V])</f>
        <v>28178201.249999996</v>
      </c>
      <c r="BD103" s="93">
        <f ca="1">SUMIF(TabCalc[GL],"&gt;0",TabCalc[AddBuys])</f>
        <v>-59637527.234239548</v>
      </c>
      <c r="BE103" s="93">
        <f ca="1">SUMIF(TabCalc[GL],"&gt;=0",TabCalc[AddCash])</f>
        <v>-5345307.9085987201</v>
      </c>
      <c r="BF103" s="93">
        <f ca="1">SUMIF(TabCalc[GL],"&gt;=0",TabCalc[AddValue])</f>
        <v>10076436.818200003</v>
      </c>
      <c r="BG103" s="93">
        <f ca="1">SUMIF(TabCalc[GL],"&gt;0",TabCalc[Tot_Paid])</f>
        <v>-77739291.666039556</v>
      </c>
      <c r="BH103" s="93">
        <f ca="1">SUMIF(TabCalc[GL],"&gt;0",TabCalc[EfCost])</f>
        <v>-11325328.202917</v>
      </c>
      <c r="BI103" s="93">
        <f ca="1">SUMIF(TabCalc[GL],"&gt;0",TabCalc[S_Income])</f>
        <v>66040213.309405029</v>
      </c>
      <c r="BJ103" s="93">
        <f ca="1">SUMIF(TabCalc[NoT_GL],"&gt;0",TabCalc[NoT_GL])</f>
        <v>18000064.438199997</v>
      </c>
      <c r="BK103" s="93">
        <f ca="1">SUMIF(TabCalc[GL],"&gt;=0",TabCalc[GL])</f>
        <v>16852873.047083002</v>
      </c>
      <c r="BL103" s="93">
        <f ca="1">BC103+NetCash</f>
        <v>30900391.479699995</v>
      </c>
      <c r="BM103" s="93">
        <f ca="1">SUMIF(TabCalc[GL],"&gt;0",TabCalc[Cost+Gain])</f>
        <v>11169925.580890002</v>
      </c>
      <c r="BN103" s="93">
        <f ca="1">Commission*(BG103-BI103)</f>
        <v>-373826.71293615591</v>
      </c>
      <c r="BO103" s="87">
        <f ca="1">SUMIF(TabCalc[GL],"&gt;0",TabCalc[AddCash])</f>
        <v>-5345307.9085987201</v>
      </c>
      <c r="BP103" s="87">
        <f ca="1">SUMIF(TabCalc[GL],"&gt;0",TabCalc[S_Income])</f>
        <v>66040213.309405029</v>
      </c>
      <c r="BQ103" s="789" t="s">
        <v>2223</v>
      </c>
      <c r="BR103" s="790">
        <f ca="1">SUMIFS(TabCalc[M_V], TabCalc[Cur], "="&amp;$BR$102, TabCalc[GL], "&gt;0")</f>
        <v>5235971.1100000003</v>
      </c>
      <c r="BS103" s="790">
        <f ca="1">SUMIFS(TabCalc[M_V], TabCalc[Cur], "="&amp;$BS$102, TabCalc[GL], "&gt;0")</f>
        <v>20865450.139999997</v>
      </c>
      <c r="BT103" s="790">
        <f ca="1">SUMIFS(TabCalc[M_V], TabCalc[Cur], "="&amp;$BT$102, TabCalc[GL], "&gt;0")</f>
        <v>910780</v>
      </c>
      <c r="BU103" s="790">
        <v>361201</v>
      </c>
      <c r="BV103" s="789">
        <f ca="1">SUMIF(TabCalc[Cur],"="&amp;BV102,TabCalc[M_V])</f>
        <v>0</v>
      </c>
      <c r="BW103" s="87">
        <f ca="1">SUMIF(TabCalc[Cost+Gain],"&gt;0",TabCalc[M_V])</f>
        <v>10715044.350000001</v>
      </c>
      <c r="BX103" s="87">
        <f ca="1">SUMIF(TabCalc[GLStatus],"="&amp;BX102,TabCalc[M_V])</f>
        <v>17463156.899999999</v>
      </c>
      <c r="BY103" s="87">
        <f ca="1">SUMIF(TabCalc[GLStatus],"="&amp;BY102,TabCalc[M_V])</f>
        <v>5852179.2250000006</v>
      </c>
    </row>
    <row r="104" spans="1:109" x14ac:dyDescent="0.3">
      <c r="AW104" s="93" cm="1">
        <f t="array" aca="1" ref="AW104" ca="1">SUMPRODUCT(TabCalc[NoT_C],TabCalc[M]*TabCalc[Scale]*(TabCalc[GL]&lt;0))</f>
        <v>3952929.0993999997</v>
      </c>
      <c r="AX104" s="140" t="s">
        <v>1462</v>
      </c>
      <c r="AY104" s="93">
        <f ca="1">BI104+BD104</f>
        <v>-3439635.2655057386</v>
      </c>
      <c r="AZ104" s="82">
        <f ca="1">SUMIF(TabCalc[NAfter],0,TabCalc[GL])</f>
        <v>323965.18309999997</v>
      </c>
      <c r="BB104" s="93">
        <f ca="1">SUMIF(TabCalc[GL],"&lt;0",TabCalc[ValueBegin])</f>
        <v>-7493057.1249637175</v>
      </c>
      <c r="BC104" s="93">
        <f ca="1">SUMIF(TabCalc[GL],"&lt;0",TabCalc[M_V])</f>
        <v>5852179.2250000006</v>
      </c>
      <c r="BD104" s="93">
        <f ca="1">SUMIF(TabCalc[GL],"&lt;0",TabCalc[AddBuys])</f>
        <v>-12994876.010560457</v>
      </c>
      <c r="BE104" s="93">
        <f ca="1">SUMIF(TabCalc[GL],"&lt;0",TabCalc[AddCash])</f>
        <v>-3931156.0053853146</v>
      </c>
      <c r="BF104" s="93">
        <f ca="1">SUMIF(TabCalc[GL],"&lt;0",TabCalc[AddValue])</f>
        <v>-1640877.899963717</v>
      </c>
      <c r="BG104" s="93">
        <f ca="1">SUMIF(TabCalc[GL],"&lt;0",TabCalc[Tot_Paid])</f>
        <v>-20487933.135524176</v>
      </c>
      <c r="BH104" s="93">
        <f ca="1">SUMIF(TabCalc[GL],"&lt;0",TabCalc[EfCost])</f>
        <v>-10854653.515837716</v>
      </c>
      <c r="BI104" s="93">
        <f ca="1">SUMIF(TabCalc[GL],"&lt;0",TabCalc[S_Income])</f>
        <v>9555240.7450547181</v>
      </c>
      <c r="BJ104" s="93">
        <f ca="1">SUMIF(TabCalc[NoT_GL],"&lt;0",TabCalc[NoT_GL])</f>
        <v>-3971692.5105637177</v>
      </c>
      <c r="BK104" s="93">
        <f ca="1">SUMIF(TabCalc[GL],"&lt;0",TabCalc[GL])</f>
        <v>-5002474.2908377172</v>
      </c>
      <c r="BL104" s="93">
        <f ca="1">BC104+BO104</f>
        <v>1921023.219614686</v>
      </c>
      <c r="BM104" s="93">
        <f ca="1">SUMIF(TabCalc[GL],"&lt;0",TabCalc[Cost+Gain])</f>
        <v>-28648.984799999995</v>
      </c>
      <c r="BN104" s="93">
        <f ca="1">Commission*(BG104-BI104)</f>
        <v>-78112.252089505128</v>
      </c>
      <c r="BO104" s="87">
        <f ca="1">SUMIF(TabCalc[GL],"&lt;0",TabCalc[AddCash])</f>
        <v>-3931156.0053853146</v>
      </c>
      <c r="BP104" s="87">
        <f ca="1">SUMIF(TabCalc[GL],"&lt;0",TabCalc[S_Income])</f>
        <v>9555240.7450547181</v>
      </c>
      <c r="BQ104" s="362" t="s">
        <v>2224</v>
      </c>
      <c r="BR104" s="795">
        <f ca="1">SUMIFS(TabCalc[M_V], TabCalc[Cur], "="&amp;$BR$102, TabCalc[GL], "&lt;0")</f>
        <v>3661670</v>
      </c>
      <c r="BS104" s="790">
        <f ca="1">SUMIFS(TabCalc[M_V], TabCalc[Cur], "="&amp;$BS$102, TabCalc[GL], "&lt;0")</f>
        <v>2190509.2249999996</v>
      </c>
      <c r="BT104" s="790">
        <f ca="1">SUMIFS(TabCalc[M_V], TabCalc[Cur], "="&amp;$BT$102, TabCalc[GL], "&lt;0")</f>
        <v>0</v>
      </c>
      <c r="BU104" s="790">
        <f ca="1">SUMIFS(TabCalc[M_V], TabCalc[Cur], BU$102, TabCalc[GL], "&lt;0")</f>
        <v>0</v>
      </c>
      <c r="BV104" s="789"/>
      <c r="BW104" s="310">
        <f ca="1">BW103/$BC$105</f>
        <v>0.31486701589691823</v>
      </c>
      <c r="BX104" s="310">
        <f ca="1">BX103/$BC$105</f>
        <v>0.51316372771174545</v>
      </c>
      <c r="BY104" s="310">
        <f ca="1">BY103/$BC$105</f>
        <v>0.17196925639133631</v>
      </c>
    </row>
    <row r="105" spans="1:109" x14ac:dyDescent="0.3">
      <c r="M105" cm="1">
        <f t="array" aca="1" ref="M105" ca="1">SUMPRODUCT((ISTEXT(TabCalc[Pile?]))*(NOT(_xlfn.ISFORMULA(TabCalc[Pile?]))))</f>
        <v>0</v>
      </c>
      <c r="AW105" s="93">
        <f ca="1">SUM(AW103:AW104)</f>
        <v>39633526.859399997</v>
      </c>
      <c r="AX105" t="s">
        <v>1908</v>
      </c>
      <c r="AZ105" s="82">
        <f ca="1">SUM(AZ103:AZ104)</f>
        <v>3046155.4128</v>
      </c>
      <c r="BB105" s="93">
        <f ca="1">TabCalc[[#Totals],[ValueBegin]]</f>
        <v>-25594821.556763712</v>
      </c>
      <c r="BC105" s="657">
        <f ca="1">TabCalc[[#Totals],[M_V]]</f>
        <v>34030380.475000001</v>
      </c>
      <c r="BJ105" s="93">
        <f ca="1">SUM(BJ103:BJ104)</f>
        <v>14028371.927636279</v>
      </c>
      <c r="BK105" s="93">
        <f ca="1">SUM(BK103:BK104)</f>
        <v>11850398.756245285</v>
      </c>
      <c r="BL105" s="93">
        <f ca="1">SUM(BL103:BL104)</f>
        <v>32821414.69931468</v>
      </c>
      <c r="BN105" s="93">
        <f ca="1">SUM(BN103:BN104)</f>
        <v>-451938.96502566105</v>
      </c>
      <c r="BQ105" s="796" t="s">
        <v>2226</v>
      </c>
      <c r="BR105" s="797">
        <f ca="1">BR104-F8-F7-F57</f>
        <v>-1291290</v>
      </c>
      <c r="BS105" s="791"/>
      <c r="BT105" s="789"/>
      <c r="BU105" s="789"/>
      <c r="BV105" s="789"/>
    </row>
    <row r="106" spans="1:109" x14ac:dyDescent="0.3">
      <c r="BA106" t="s">
        <v>2146</v>
      </c>
      <c r="BC106" s="93">
        <f ca="1">TabCalc[[#Totals],[EfCost]]</f>
        <v>-22179981.718754712</v>
      </c>
      <c r="BG106" s="82"/>
      <c r="BQ106" s="789" t="s">
        <v>2216</v>
      </c>
      <c r="BR106" s="792">
        <f ca="1">SUMIFS(TabCalc[GL], TabCalc[Cur], BR$102, TabCalc[GL], "&gt;0")</f>
        <v>2994669.2075</v>
      </c>
      <c r="BS106" s="790">
        <f ca="1">SUMIFS(TabCalc[GL], TabCalc[Cur], BS$102, TabCalc[GL], "&gt;0")</f>
        <v>12370635.495289998</v>
      </c>
      <c r="BT106" s="791">
        <f ca="1">SUMIFS(TabCalc[GL], TabCalc[Cur], BT$102, TabCalc[GL], "&gt;0")</f>
        <v>1367064.0342930001</v>
      </c>
      <c r="BU106" s="790">
        <f ca="1">SUMIFS(TabCalc[GL], TabCalc[Cur], BU$102, TabCalc[GL], "&gt;0")</f>
        <v>120504.30999999994</v>
      </c>
      <c r="BV106" s="789"/>
    </row>
    <row r="107" spans="1:109" x14ac:dyDescent="0.3">
      <c r="BA107" t="s">
        <v>2692</v>
      </c>
      <c r="BC107" s="82">
        <f ca="1">BC105+BC106</f>
        <v>11850398.756245289</v>
      </c>
      <c r="BF107" s="90">
        <f ca="1">ABS(BC107/BC106)</f>
        <v>0.53428352225488784</v>
      </c>
      <c r="BQ107" s="789" t="s">
        <v>2217</v>
      </c>
      <c r="BR107" s="793">
        <f ca="1">SUMIFS(TabCalc[EfCost], TabCalc[Cur], BR$102, TabCalc[GL], "&gt;0")</f>
        <v>-2241301.9024999999</v>
      </c>
      <c r="BS107" s="793">
        <f ca="1">SUMIFS(TabCalc[EfCost], TabCalc[Cur], BS$102, TabCalc[GL], "&gt;0")</f>
        <v>-8494814.6447100006</v>
      </c>
      <c r="BT107" s="793">
        <f ca="1">SUMIFS(TabCalc[EfCost], TabCalc[Cur], BT$102, TabCalc[GL], "&gt;0")</f>
        <v>456284.03429300006</v>
      </c>
      <c r="BU107" s="793">
        <f ca="1">SUMIFS(TabCalc[EfCost], TabCalc[Cur], BU$102, TabCalc[GL], "&gt;0")</f>
        <v>-1045495.6900000001</v>
      </c>
      <c r="BV107" s="789"/>
    </row>
    <row r="108" spans="1:109" hidden="1" x14ac:dyDescent="0.3">
      <c r="BC108" s="654" t="s">
        <v>2147</v>
      </c>
      <c r="BE108" s="655">
        <f ca="1">TabCalc[[#Totals],[AddValue]]</f>
        <v>8435558.9182362892</v>
      </c>
      <c r="BF108" s="90">
        <f ca="1">BE108/BC107</f>
        <v>0.71183755852862407</v>
      </c>
      <c r="BO108" s="789" t="s">
        <v>2218</v>
      </c>
      <c r="BP108" s="794">
        <f ca="1">+ABS(BR106/BR107)</f>
        <v>1.3361293291901803</v>
      </c>
      <c r="BQ108" s="794">
        <f ca="1">+ABS(BS106/BS107)</f>
        <v>1.4562572595970176</v>
      </c>
      <c r="BR108" s="794">
        <f ca="1">+ABS(BT106/BT107)</f>
        <v>2.9960812378877759</v>
      </c>
      <c r="BS108" s="794">
        <f ca="1">+ABS(BU106/BU107)</f>
        <v>0.11526045602349631</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1848581.7835000001</v>
      </c>
      <c r="BQ193" s="792">
        <f ca="1">SUMIFS(TabCalc[Cost+Gain], TabCalc[Cur], BS$102, TabCalc[GL], "&gt;0")</f>
        <v>8011528.1302899998</v>
      </c>
      <c r="BR193" s="792">
        <f ca="1">SUMIFS(TabCalc[Cost+Gain], TabCalc[Cur], BT$102, TabCalc[GL], "&gt;0")</f>
        <v>1309815.6671000002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906995.66710000008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-18101764.431799993</v>
      </c>
      <c r="AZ202" s="93">
        <f ca="1">-AY202</f>
        <v>18101764.431799993</v>
      </c>
      <c r="BA202" s="93">
        <f ca="1">BD103</f>
        <v>-59637527.234239548</v>
      </c>
      <c r="BB202" s="93">
        <f ca="1">AY202+BA202</f>
        <v>-77739291.666039541</v>
      </c>
      <c r="BC202" s="93">
        <f ca="1">BI103</f>
        <v>66040213.309405029</v>
      </c>
      <c r="BD202" s="93">
        <f ca="1">BB202+BC202</f>
        <v>-11699078.356634513</v>
      </c>
      <c r="BE202" s="93">
        <f ca="1">BA202+BC202</f>
        <v>6402686.0751654804</v>
      </c>
      <c r="BF202" s="93">
        <f ca="1">BE202-BG202</f>
        <v>3680495.8454654803</v>
      </c>
      <c r="BG202" s="93">
        <f ca="1">NetCash</f>
        <v>2722190.2297</v>
      </c>
      <c r="BH202" s="93">
        <f ca="1">BC103</f>
        <v>28178201.249999996</v>
      </c>
      <c r="BI202" s="93">
        <f ca="1">BH202-AZ202</f>
        <v>10076436.818200003</v>
      </c>
      <c r="BJ202" s="93">
        <f ca="1">BG202+BI202</f>
        <v>12798627.047900002</v>
      </c>
      <c r="BK202" s="93"/>
      <c r="BL202" s="90">
        <f ca="1">BH202/(-BD202)</f>
        <v>2.4085830003882505</v>
      </c>
      <c r="BM202" s="93"/>
      <c r="BN202" s="90">
        <f ca="1">BI202/-BD202</f>
        <v>0.86130176335520359</v>
      </c>
      <c r="BO202" s="93">
        <f ca="1">(BB202-BC202)*Commission</f>
        <v>-373826.71293615585</v>
      </c>
    </row>
    <row r="203" spans="50:246" x14ac:dyDescent="0.3">
      <c r="AX203" s="666" t="s">
        <v>2104</v>
      </c>
      <c r="AY203" s="93">
        <f ca="1">BB104</f>
        <v>-7493057.1249637175</v>
      </c>
      <c r="AZ203" s="93">
        <f ca="1">-AY203</f>
        <v>7493057.1249637175</v>
      </c>
      <c r="BA203" s="93">
        <f ca="1">BD104</f>
        <v>-12994876.010560457</v>
      </c>
      <c r="BB203" s="93">
        <f ca="1">AY203+BA203</f>
        <v>-20487933.135524176</v>
      </c>
      <c r="BC203" s="93">
        <f ca="1">BI104</f>
        <v>9555240.7450547181</v>
      </c>
      <c r="BD203" s="93">
        <f ca="1">BB203+BC203</f>
        <v>-10932692.390469458</v>
      </c>
      <c r="BE203" s="93">
        <f ca="1">BA203+BC203</f>
        <v>-3439635.2655057386</v>
      </c>
      <c r="BF203" s="685">
        <v>0</v>
      </c>
      <c r="BG203" s="685">
        <v>0</v>
      </c>
      <c r="BH203" s="93">
        <f ca="1">BC104</f>
        <v>5852179.2250000006</v>
      </c>
      <c r="BI203" s="93">
        <f ca="1">BH203-AZ203</f>
        <v>-1640877.899963717</v>
      </c>
      <c r="BJ203" s="93">
        <f ca="1">BG203+BI203</f>
        <v>-1640877.899963717</v>
      </c>
      <c r="BK203" s="93"/>
      <c r="BL203" s="90">
        <f ca="1">BH203/(-BD203)</f>
        <v>0.53529167527860022</v>
      </c>
      <c r="BM203" s="93"/>
      <c r="BN203" s="90">
        <f ca="1">BI203/-BD203</f>
        <v>-0.15008909437478982</v>
      </c>
      <c r="BO203" s="93">
        <f ca="1">(BB203-BC203)*Commission</f>
        <v>-78112.252089505128</v>
      </c>
    </row>
    <row r="204" spans="50:246" x14ac:dyDescent="0.3">
      <c r="AY204" s="725">
        <f t="shared" ref="AY204:AZ204" ca="1" si="9">AY202+AY203</f>
        <v>-25594821.556763709</v>
      </c>
      <c r="AZ204" s="725">
        <f t="shared" ca="1" si="9"/>
        <v>25594821.556763709</v>
      </c>
      <c r="BA204" s="725">
        <f ca="1">BA202+BA203</f>
        <v>-72632403.244800001</v>
      </c>
      <c r="BB204" s="725">
        <f t="shared" ref="BB204:BM204" ca="1" si="10">BB202+BB203</f>
        <v>-98227224.80156371</v>
      </c>
      <c r="BC204" s="725">
        <f t="shared" ca="1" si="10"/>
        <v>75595454.054459751</v>
      </c>
      <c r="BD204" s="725">
        <f t="shared" ca="1" si="10"/>
        <v>-22631770.74710397</v>
      </c>
      <c r="BE204" s="725">
        <f t="shared" ca="1" si="10"/>
        <v>2963050.8096597418</v>
      </c>
      <c r="BF204" s="725">
        <f ca="1">BF202+BF203</f>
        <v>3680495.8454654803</v>
      </c>
      <c r="BG204" s="725">
        <f ca="1">BG202+BG203</f>
        <v>2722190.2297</v>
      </c>
      <c r="BH204" s="725">
        <f t="shared" ca="1" si="10"/>
        <v>34030380.474999994</v>
      </c>
      <c r="BI204" s="725">
        <f t="shared" ca="1" si="10"/>
        <v>8435558.9182362854</v>
      </c>
      <c r="BJ204" s="725">
        <f t="shared" ca="1" si="10"/>
        <v>11157749.147936285</v>
      </c>
      <c r="BK204" s="725"/>
      <c r="BL204" s="865">
        <f ca="1">BH204/(-BD204)</f>
        <v>1.5036552311910734</v>
      </c>
      <c r="BM204" s="725">
        <f t="shared" si="10"/>
        <v>0</v>
      </c>
      <c r="BN204" s="865">
        <f ca="1">BI204/-BD204</f>
        <v>0.37273083986659439</v>
      </c>
      <c r="BO204" s="93">
        <f ca="1">(BB204-BC204)*Commission</f>
        <v>-451938.96502566099</v>
      </c>
    </row>
    <row r="216" spans="46:46" x14ac:dyDescent="0.3">
      <c r="AT216" s="140"/>
    </row>
  </sheetData>
  <mergeCells count="2">
    <mergeCell ref="N1:T1"/>
    <mergeCell ref="BJ100:BK100"/>
  </mergeCells>
  <phoneticPr fontId="49" type="noConversion"/>
  <conditionalFormatting sqref="BP18 BL18">
    <cfRule type="containsText" dxfId="591" priority="154" operator="containsText" text="Pile">
      <formula>NOT(ISERROR(SEARCH("Pile",BL18)))</formula>
    </cfRule>
  </conditionalFormatting>
  <conditionalFormatting sqref="BR2:BR97">
    <cfRule type="containsText" dxfId="590" priority="153" operator="containsText" text="Pile">
      <formula>NOT(ISERROR(SEARCH("Pile",BR2)))</formula>
    </cfRule>
    <cfRule type="containsText" dxfId="589" priority="155" operator="containsText" text="Trade">
      <formula>NOT(ISERROR(SEARCH("Trade",BR2)))</formula>
    </cfRule>
  </conditionalFormatting>
  <conditionalFormatting sqref="H3:J96">
    <cfRule type="expression" dxfId="588" priority="145">
      <formula>$L3&gt;0</formula>
    </cfRule>
  </conditionalFormatting>
  <conditionalFormatting sqref="A2:A97">
    <cfRule type="containsText" dxfId="587" priority="144" operator="containsText" text="GBP">
      <formula>NOT(ISERROR(SEARCH("GBP",A2)))</formula>
    </cfRule>
  </conditionalFormatting>
  <conditionalFormatting sqref="AT3:AU96">
    <cfRule type="containsText" dxfId="586" priority="134" operator="containsText" text="Free">
      <formula>NOT(ISERROR(SEARCH("Free",AT3)))</formula>
    </cfRule>
    <cfRule type="containsText" dxfId="585" priority="135" operator="containsText" text="Buy">
      <formula>NOT(ISERROR(SEARCH("Buy",AT3)))</formula>
    </cfRule>
    <cfRule type="containsText" dxfId="584" priority="142" operator="containsText" text="Refill">
      <formula>NOT(ISERROR(SEARCH("Refill",AT3)))</formula>
    </cfRule>
    <cfRule type="containsText" dxfId="583" priority="152" operator="containsText" text="S_more">
      <formula>NOT(ISERROR(SEARCH("S_more",AT3)))</formula>
    </cfRule>
  </conditionalFormatting>
  <conditionalFormatting sqref="AV2:AW97">
    <cfRule type="containsText" dxfId="582" priority="132" operator="containsText" text="Free">
      <formula>NOT(ISERROR(SEARCH("Free",AV2)))</formula>
    </cfRule>
    <cfRule type="containsText" dxfId="581" priority="133" operator="containsText" text="Sell">
      <formula>NOT(ISERROR(SEARCH("Sell",AV2)))</formula>
    </cfRule>
    <cfRule type="containsText" dxfId="580" priority="140" operator="containsText" text="Re-Sell">
      <formula>NOT(ISERROR(SEARCH("Re-Sell",AV2)))</formula>
    </cfRule>
    <cfRule type="containsText" dxfId="579" priority="141" operator="containsText" text="B_more">
      <formula>NOT(ISERROR(SEARCH("B_more",AV2)))</formula>
    </cfRule>
  </conditionalFormatting>
  <conditionalFormatting sqref="AW3:AW96">
    <cfRule type="cellIs" dxfId="578" priority="136" operator="lessThan">
      <formula>0</formula>
    </cfRule>
  </conditionalFormatting>
  <conditionalFormatting sqref="AS2:AS96">
    <cfRule type="cellIs" dxfId="577" priority="125" operator="equal">
      <formula>0</formula>
    </cfRule>
    <cfRule type="cellIs" dxfId="576" priority="126" operator="greaterThanOrEqual">
      <formula>200%</formula>
    </cfRule>
    <cfRule type="cellIs" dxfId="575" priority="127" operator="lessThan">
      <formula>1</formula>
    </cfRule>
  </conditionalFormatting>
  <conditionalFormatting sqref="BL3:BL96">
    <cfRule type="cellIs" dxfId="574" priority="123" operator="greaterThan">
      <formula>0</formula>
    </cfRule>
    <cfRule type="cellIs" dxfId="573"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72" priority="25">
      <formula>ROW()=CELL("row")</formula>
    </cfRule>
  </conditionalFormatting>
  <conditionalFormatting sqref="A100:BJ100 A101:BK107 A98:DI99 A108:DI120 BL100:DI107 DM100:DQ107 DM108:DO120 DJ98:DL120 DM98:DO99 DH98:DH120">
    <cfRule type="expression" dxfId="571" priority="24">
      <formula>AND(ROW()&gt;2, ROW()=SelRowNum)</formula>
    </cfRule>
  </conditionalFormatting>
  <conditionalFormatting sqref="DB2:DB97">
    <cfRule type="cellIs" dxfId="570" priority="23" operator="lessThan">
      <formula>0</formula>
    </cfRule>
  </conditionalFormatting>
  <conditionalFormatting sqref="K3:K96">
    <cfRule type="expression" dxfId="569" priority="2078">
      <formula>$K3&gt;MAX(ABS($L3),$I3)</formula>
    </cfRule>
    <cfRule type="expression" dxfId="568" priority="2079" stopIfTrue="1">
      <formula>$I3&gt;$L3</formula>
    </cfRule>
    <cfRule type="expression" dxfId="567" priority="2080">
      <formula>$K3&lt;MIN(ABS($L3),$I3)</formula>
    </cfRule>
  </conditionalFormatting>
  <conditionalFormatting sqref="L3:L96 J3:J96">
    <cfRule type="expression" dxfId="566" priority="2081">
      <formula>ABS($L3)&lt;MIN($I3,$K3)</formula>
    </cfRule>
    <cfRule type="expression" dxfId="565" priority="2082" stopIfTrue="1">
      <formula>$I3&gt;$K3</formula>
    </cfRule>
    <cfRule type="expression" dxfId="564" priority="2083" stopIfTrue="1">
      <formula>ABS($L3)&gt;$I3</formula>
    </cfRule>
    <cfRule type="expression" dxfId="563"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62" priority="3013" percent="1" rank="10"/>
  </conditionalFormatting>
  <conditionalFormatting sqref="DJ3:DJ96">
    <cfRule type="top10" dxfId="561" priority="1" percent="1" rank="25"/>
    <cfRule type="top10" dxfId="560"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45967</v>
      </c>
      <c r="C2" s="63" t="s">
        <v>2615</v>
      </c>
      <c r="D2" s="1084" t="s">
        <v>2506</v>
      </c>
      <c r="E2" s="1166"/>
      <c r="F2" s="1085"/>
      <c r="G2" s="1085"/>
      <c r="H2" s="540"/>
      <c r="I2" s="69"/>
      <c r="J2" s="583" t="s">
        <v>2583</v>
      </c>
    </row>
    <row r="3" spans="1:16" x14ac:dyDescent="0.3">
      <c r="A3" s="63" t="s">
        <v>0</v>
      </c>
      <c r="B3" s="1158">
        <f ca="1">TODAY()</f>
        <v>45968</v>
      </c>
      <c r="C3" s="1197" t="s">
        <v>2612</v>
      </c>
      <c r="D3" s="1079">
        <f ca="1">_xlfn.XLOOKUP(A3,TabCalc[Ticker],TabCalc[Ch_Today])</f>
        <v>-6.5719999999999997E-3</v>
      </c>
      <c r="E3" s="1167">
        <f ca="1">_xlfn.XLOOKUP(A3,TabCalc[Ticker],TabCalc[Agiotage])</f>
        <v>0.75361006056948199</v>
      </c>
      <c r="F3" s="1042" t="str">
        <f ca="1">IFERROR( _xlfn.LET(_xlpm.nma,_xlfn.XLOOKUP(A3,TabCalc[Ticker],TabCalc[NMA]),_xlpm.revenue,_xlfn.XLOOKUP(A3,TabCalc[Ticker],TabCalc[Revenue]),_xlpm.nma&amp;"="&amp;TEXT(_xlpm.revenue,"#,#0")&amp;"@M: "&amp;H3),"")</f>
        <v>89=23,852@M: 267.997</v>
      </c>
      <c r="G3" s="1080">
        <f ca="1">IF(A3=IDTICKER,ID_Up20,_xlfn.XLOOKUP(A3,TabCalc[Ticker],TabCalc[Up20]))</f>
        <v>0</v>
      </c>
      <c r="H3" s="1045">
        <f ca="1">_xlfn.XLOOKUP(A3,TabCalc[Ticker],TabCalc[M])</f>
        <v>267.99700000000001</v>
      </c>
      <c r="I3" s="1073">
        <f ca="1">TODAY()</f>
        <v>45968</v>
      </c>
      <c r="J3" s="1171" t="str">
        <f ca="1">IFERROR("("&amp;TEXT(D3,"#0.0%")&amp;":"&amp;INT(100*E3)&amp;"%)@"&amp;TEXT(H3,"#,#0.#0")&amp;":("&amp;F3&amp;")"&amp;"&gt;UpMark "&amp;TEXT(G3,"#,#0%"),"Formulas ready to copy below")</f>
        <v>(-0.7%:75%)@268.0:(89=23,852@M: 267.997)&gt;UpMark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267.99700000000001</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45968</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14.045</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45968</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44.7</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45968</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244.56</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45968</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0.78</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45968</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870.8</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45968</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347.38499999999999</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45968</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84.555000000000007</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45968</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3.4849999999999999</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45968</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2.4975000000000001</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45968</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100.52</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45968</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70.924999999999997</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45968</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78.84</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45968</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2.2250000000000001</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45968</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110.73</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45968</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23.34</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45968</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123.325</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45968</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13.175000000000001</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45968</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16.105</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45968</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45968</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70.66</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45968</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23.4</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45968</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26.215</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45968</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366.2</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45968</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64.905000000000001</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45968</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10.63</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45968</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10.484999999999999</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45968</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24.524999999999999</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45968</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497.63</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45968</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83.71</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45968</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83.35</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45968</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1099.25</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45968</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3.05</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45968</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34.719900000000003</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45968</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5.9249999999999998</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45968</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5.3699000000000003</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45968</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0.66</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45968</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35.31</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45968</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42.91</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45968</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215.65</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45968</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14.69</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45968</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9.4600000000000009</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45968</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430.03</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45968</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285.85000000000002</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45968</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45968</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6.5650000000000004</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45968</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27.416499999999999</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45968</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58.3</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45968</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10.074999999999999</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45968</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45968</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117.39</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45968</v>
      </c>
      <c r="P55" t="str">
        <f t="shared" ca="1" si="3"/>
        <v>Formulas ready to copy below</v>
      </c>
    </row>
    <row r="56" spans="1:16" ht="23" thickBot="1" x14ac:dyDescent="0.35">
      <c r="A56" s="1037" t="str">
        <f ca="1">Calc!H54</f>
        <v>XPER</v>
      </c>
      <c r="B56" s="1039">
        <v>45967</v>
      </c>
      <c r="C56" s="1081" t="s">
        <v>2776</v>
      </c>
      <c r="D56" s="1079">
        <v>2.2254999999999997E-2</v>
      </c>
      <c r="E56" s="1167">
        <v>1.6525971596294879</v>
      </c>
      <c r="F56" s="1042" t="s">
        <v>2774</v>
      </c>
      <c r="G56" s="1080">
        <v>0</v>
      </c>
      <c r="H56" s="1045">
        <f ca="1">_xlfn.XLOOKUP(A56,TabCalc[Ticker],TabCalc[M])</f>
        <v>6.5984999999999996</v>
      </c>
      <c r="I56" s="1073">
        <v>45967</v>
      </c>
      <c r="J56" s="1171" t="s">
        <v>2775</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45968</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0.78</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45968</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2.2250000000000001</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45968</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23.34</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45968</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16.105</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45968</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15.932</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45968</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45968</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54.64</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45968</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14.164999999999999</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45968</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42.91</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45968</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215.65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45968</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45968</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267.99700000000001</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45968</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244.56</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45968</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870.8</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45968</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2.2250000000000001</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45968</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110.73</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45968</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70.66</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45968</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366.2</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45968</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24.524999999999999</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45968</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1.5899000000000001</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45968</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15.932</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45968</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471.4</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45968</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13.205</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45968</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54.64</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45968</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154.62</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45968</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785.35500000000002</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45968</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1.2450000000000001</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45968</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32.365000000000002</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45968</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551.29999999999995</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45968</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7.4089999999999998</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45968</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126.45</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45968</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14.164999999999999</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45968</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41.189300000000003</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45968</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24.375</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45968</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3.96</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45968</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37.43</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45968</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65.52</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45968</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204.845</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45968</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45968</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10.173999999999999</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45968</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870.8</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45968</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16.105</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45968</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558" priority="41" operator="lessThan">
      <formula>0.45</formula>
    </cfRule>
    <cfRule type="cellIs" dxfId="557"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556" priority="15">
      <formula>_xlfn.ISFORMULA(J5)</formula>
    </cfRule>
    <cfRule type="expression" dxfId="555"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554" priority="21" operator="lessThan">
      <formula>0.45</formula>
    </cfRule>
    <cfRule type="cellIs" dxfId="553" priority="22" operator="greaterThan">
      <formula>0.55</formula>
    </cfRule>
  </conditionalFormatting>
  <conditionalFormatting sqref="P64">
    <cfRule type="expression" dxfId="552" priority="20">
      <formula>_xlfn.ISFORMULA(P64)</formula>
    </cfRule>
  </conditionalFormatting>
  <conditionalFormatting sqref="M76">
    <cfRule type="cellIs" dxfId="551" priority="18" operator="lessThan">
      <formula>0.45</formula>
    </cfRule>
    <cfRule type="cellIs" dxfId="550" priority="19" operator="greaterThan">
      <formula>0.55</formula>
    </cfRule>
  </conditionalFormatting>
  <conditionalFormatting sqref="P76">
    <cfRule type="expression" dxfId="549" priority="17">
      <formula>_xlfn.ISFORMULA(P76)</formula>
    </cfRule>
  </conditionalFormatting>
  <conditionalFormatting sqref="J3">
    <cfRule type="expression" dxfId="548" priority="13">
      <formula>_xlfn.ISFORMULA(J3)</formula>
    </cfRule>
    <cfRule type="expression" dxfId="547" priority="14">
      <formula>_xlfn.ISFORMULA(J3)</formula>
    </cfRule>
  </conditionalFormatting>
  <conditionalFormatting sqref="J21">
    <cfRule type="expression" dxfId="546" priority="11">
      <formula>_xlfn.ISFORMULA(J21)</formula>
    </cfRule>
    <cfRule type="expression" dxfId="545" priority="12">
      <formula>_xlfn.ISFORMULA(J21)</formula>
    </cfRule>
  </conditionalFormatting>
  <conditionalFormatting sqref="J81">
    <cfRule type="expression" dxfId="544" priority="9">
      <formula>_xlfn.ISFORMULA(J81)</formula>
    </cfRule>
    <cfRule type="expression" dxfId="543" priority="10">
      <formula>_xlfn.ISFORMULA(J81)</formula>
    </cfRule>
  </conditionalFormatting>
  <conditionalFormatting sqref="J91">
    <cfRule type="expression" dxfId="542" priority="7">
      <formula>_xlfn.ISFORMULA(J91)</formula>
    </cfRule>
    <cfRule type="expression" dxfId="541" priority="8">
      <formula>_xlfn.ISFORMULA(J91)</formula>
    </cfRule>
  </conditionalFormatting>
  <conditionalFormatting sqref="J94">
    <cfRule type="expression" dxfId="540" priority="5">
      <formula>_xlfn.ISFORMULA(J94)</formula>
    </cfRule>
    <cfRule type="expression" dxfId="539" priority="6">
      <formula>_xlfn.ISFORMULA(J94)</formula>
    </cfRule>
  </conditionalFormatting>
  <conditionalFormatting sqref="J56">
    <cfRule type="expression" dxfId="538" priority="1">
      <formula>_xlfn.ISFORMULA(J56)</formula>
    </cfRule>
    <cfRule type="expression" dxfId="537"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5"/>
  <sheetViews>
    <sheetView showZeros="0" topLeftCell="C1716" zoomScale="125" zoomScaleNormal="80" workbookViewId="0">
      <selection activeCell="AA1780" sqref="AA1780"/>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ASML</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45967</v>
      </c>
      <c r="I2" s="1009">
        <f t="shared" ca="1" si="0"/>
        <v>45967</v>
      </c>
      <c r="J2" s="1009">
        <f t="shared" ca="1" si="0"/>
        <v>45967</v>
      </c>
      <c r="K2" s="1009">
        <f t="shared" ca="1" si="0"/>
        <v>45967</v>
      </c>
      <c r="L2" s="1009">
        <f t="shared" ca="1" si="0"/>
        <v>45967</v>
      </c>
      <c r="M2" s="1009">
        <f t="shared" ca="1" si="0"/>
        <v>45967</v>
      </c>
      <c r="N2" s="1009">
        <f t="shared" ca="1" si="0"/>
        <v>45967</v>
      </c>
      <c r="O2" s="1009">
        <f t="shared" ca="1" si="0"/>
        <v>45967</v>
      </c>
      <c r="P2" s="1009">
        <f t="shared" ca="1" si="0"/>
        <v>45967</v>
      </c>
      <c r="Q2" s="1009">
        <f t="shared" ca="1" si="0"/>
        <v>45967</v>
      </c>
      <c r="R2" s="1009">
        <f t="shared" ca="1" si="0"/>
        <v>45967</v>
      </c>
      <c r="S2" s="1009">
        <f t="shared" ca="1" si="0"/>
        <v>45967</v>
      </c>
      <c r="T2" s="1009">
        <f t="shared" ca="1" si="0"/>
        <v>45967</v>
      </c>
      <c r="U2" s="1009">
        <f t="shared" ca="1" si="0"/>
        <v>45967</v>
      </c>
      <c r="V2" s="1009">
        <f t="shared" ca="1" si="0"/>
        <v>45967</v>
      </c>
      <c r="W2" s="1009">
        <f t="shared" ca="1" si="0"/>
        <v>45967</v>
      </c>
      <c r="X2" s="1009">
        <f ca="1">WORKDAY(TODAY(),-1)</f>
        <v>45967</v>
      </c>
      <c r="Y2" s="1009">
        <f ca="1">WORKDAY(TODAY(),0)</f>
        <v>45968</v>
      </c>
      <c r="Z2" s="1010">
        <f ca="1">TODAY()</f>
        <v>45968</v>
      </c>
      <c r="AW2" s="392"/>
      <c r="BQ2"/>
      <c r="BR2"/>
    </row>
    <row r="3" spans="1:248" ht="22" customHeight="1" x14ac:dyDescent="0.3">
      <c r="D3" s="360"/>
      <c r="E3" s="393"/>
      <c r="F3" s="62">
        <f t="shared" ref="F3:X3" ca="1" si="1">WORKDAY(G3,-1)</f>
        <v>45940</v>
      </c>
      <c r="G3" s="62">
        <f t="shared" ca="1" si="1"/>
        <v>45943</v>
      </c>
      <c r="H3" s="62">
        <f t="shared" ca="1" si="1"/>
        <v>45944</v>
      </c>
      <c r="I3" s="62">
        <f t="shared" ca="1" si="1"/>
        <v>45945</v>
      </c>
      <c r="J3" s="62">
        <f t="shared" ca="1" si="1"/>
        <v>45946</v>
      </c>
      <c r="K3" s="62">
        <f t="shared" ca="1" si="1"/>
        <v>45947</v>
      </c>
      <c r="L3" s="62">
        <f t="shared" ca="1" si="1"/>
        <v>45950</v>
      </c>
      <c r="M3" s="62">
        <f t="shared" ca="1" si="1"/>
        <v>45951</v>
      </c>
      <c r="N3" s="62">
        <f t="shared" ca="1" si="1"/>
        <v>45952</v>
      </c>
      <c r="O3" s="62">
        <f t="shared" ca="1" si="1"/>
        <v>45953</v>
      </c>
      <c r="P3" s="62">
        <f t="shared" ca="1" si="1"/>
        <v>45954</v>
      </c>
      <c r="Q3" s="62">
        <f t="shared" ca="1" si="1"/>
        <v>45957</v>
      </c>
      <c r="R3" s="62">
        <f t="shared" ca="1" si="1"/>
        <v>45958</v>
      </c>
      <c r="S3" s="62">
        <f t="shared" ca="1" si="1"/>
        <v>45959</v>
      </c>
      <c r="T3" s="62">
        <f t="shared" ca="1" si="1"/>
        <v>45960</v>
      </c>
      <c r="U3" s="62">
        <f t="shared" ca="1" si="1"/>
        <v>45961</v>
      </c>
      <c r="V3" s="62">
        <f t="shared" ca="1" si="1"/>
        <v>45964</v>
      </c>
      <c r="W3" s="62">
        <f t="shared" ca="1" si="1"/>
        <v>45965</v>
      </c>
      <c r="X3" s="62">
        <f t="shared" ca="1" si="1"/>
        <v>45966</v>
      </c>
      <c r="Y3" s="62">
        <f ca="1">WORKDAY(Z3,-1)</f>
        <v>45967</v>
      </c>
      <c r="Z3" s="62">
        <f ca="1">IF(TODAY()=WORKDAY(TODAY(),0),TODAY(),WORKDAY(TODAY(),0))</f>
        <v>45968</v>
      </c>
      <c r="AA3" s="4"/>
      <c r="AB3" s="117">
        <f t="shared" ref="AB3:AV3" ca="1" si="2">F3</f>
        <v>45940</v>
      </c>
      <c r="AC3" s="117">
        <f t="shared" ca="1" si="2"/>
        <v>45943</v>
      </c>
      <c r="AD3" s="117">
        <f t="shared" ca="1" si="2"/>
        <v>45944</v>
      </c>
      <c r="AE3" s="117">
        <f t="shared" ca="1" si="2"/>
        <v>45945</v>
      </c>
      <c r="AF3" s="117">
        <f t="shared" ca="1" si="2"/>
        <v>45946</v>
      </c>
      <c r="AG3" s="117">
        <f t="shared" ca="1" si="2"/>
        <v>45947</v>
      </c>
      <c r="AH3" s="117">
        <f t="shared" ca="1" si="2"/>
        <v>45950</v>
      </c>
      <c r="AI3" s="117">
        <f t="shared" ca="1" si="2"/>
        <v>45951</v>
      </c>
      <c r="AJ3" s="117">
        <f t="shared" ca="1" si="2"/>
        <v>45952</v>
      </c>
      <c r="AK3" s="117">
        <f t="shared" ca="1" si="2"/>
        <v>45953</v>
      </c>
      <c r="AL3" s="117">
        <f t="shared" ca="1" si="2"/>
        <v>45954</v>
      </c>
      <c r="AM3" s="117">
        <f t="shared" ca="1" si="2"/>
        <v>45957</v>
      </c>
      <c r="AN3" s="117">
        <f t="shared" ca="1" si="2"/>
        <v>45958</v>
      </c>
      <c r="AO3" s="117">
        <f t="shared" ca="1" si="2"/>
        <v>45959</v>
      </c>
      <c r="AP3" s="117">
        <f t="shared" ca="1" si="2"/>
        <v>45960</v>
      </c>
      <c r="AQ3" s="117">
        <f t="shared" ca="1" si="2"/>
        <v>45961</v>
      </c>
      <c r="AR3" s="117">
        <f t="shared" ca="1" si="2"/>
        <v>45964</v>
      </c>
      <c r="AS3" s="117">
        <f t="shared" ca="1" si="2"/>
        <v>45965</v>
      </c>
      <c r="AT3" s="117">
        <f t="shared" ca="1" si="2"/>
        <v>45966</v>
      </c>
      <c r="AU3" s="117">
        <f t="shared" ca="1" si="2"/>
        <v>45967</v>
      </c>
      <c r="AV3" s="117">
        <f t="shared" ca="1" si="2"/>
        <v>45968</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45968.870792939066</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[1]ExtEntry!$F3</f>
        <v>269.77</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45968.870793055466</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[1]ExtEntry!$F4</f>
        <v>14</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45968.691200717185</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[1]ExtEntry!$F5</f>
        <v>44.4</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45968.870781133592</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[1]ExtEntry!$F6</f>
        <v>243.04</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45968.708333333336</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[1]ExtEntry!$F7</f>
        <v>0.78200000000000003</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45968.708333333336</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[1]ExtEntry!$F8</f>
        <v>895.3</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45968.870794849216</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[1]ExtEntry!$F9</f>
        <v>355.59</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45968.86958326328</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[1]ExtEntry!$F10</f>
        <v>83.77</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45968.870790034372</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[1]ExtEntry!$F11</f>
        <v>3.55</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45968.87077415469</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[1]ExtEntry!$F12</f>
        <v>2.5499999999999998</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45968.870794282033</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[1]ExtEntry!$F13</f>
        <v>100.85</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45968.870802858597</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[1]ExtEntry!$F14</f>
        <v>71.040000000000006</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45968.870786099222</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[1]ExtEntry!$F15</f>
        <v>78.66</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45968.708333333336</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[1]ExtEntry!$F16</f>
        <v>2.25</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45968.870767036722</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[1]ExtEntry!$F17</f>
        <v>110.49</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45968.870783032035</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[1]ExtEntry!$F18</f>
        <v>23.26</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45968.857638888891</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[1]ExtEntry!$F19</f>
        <v>121.53</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[1]ExtEntry!$F20</f>
        <v>13.64</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45968.870778610937</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[1]ExtEntry!$F21</f>
        <v>16.079999999999998</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45968.87077715234</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45968.870794895316</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[1]ExtEntry!$F23</f>
        <v>68.84</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45968.676040161721</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[1]ExtEntry!$F24</f>
        <v>23.4</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45968.870795508592</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[1]ExtEntry!$F25</f>
        <v>26.17</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45968.870632685153</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[1]ExtEntry!$F26</f>
        <v>414.1</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45968.870787488282</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[1]ExtEntry!$F27</f>
        <v>63.43</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45968.870799733595</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[1]ExtEntry!$F28</f>
        <v>11.44</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45968.870791770314</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[1]ExtEntry!$F29</f>
        <v>10.94</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45968.870773159375</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[1]ExtEntry!$F30</f>
        <v>24.33</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45968.87079606406</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[1]ExtEntry!$F31</f>
        <v>497.1</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45968.870786955471</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[1]ExtEntry!$F32</f>
        <v>82</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45968.870491724221</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[1]ExtEntry!$F33</f>
        <v>82.53</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45968.870712580472</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[1]ExtEntry!$F34</f>
        <v>1097.02</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45968.870771203125</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[1]ExtEntry!$F35</f>
        <v>3</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45968.870799745309</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[1]ExtEntry!$F36</f>
        <v>33.83</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45968.866850878905</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[1]ExtEntry!$F37</f>
        <v>5.85</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45968.87078192109</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[1]ExtEntry!$F38</f>
        <v>5.32</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45968.859722222223</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[1]ExtEntry!$F39</f>
        <v>0.68189999999999995</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45968.8125</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[1]ExtEntry!$F40</f>
        <v>36.119999999999997</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45968.860066515626</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[1]ExtEntry!$F41</f>
        <v>43.09</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45968.870751249997</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[1]ExtEntry!$F42</f>
        <v>217.95</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45968.870779015626</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[1]ExtEntry!$F43</f>
        <v>14.46</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45968.870792499998</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[1]ExtEntry!$F44</f>
        <v>9.4600000000000009</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45968.834722222222</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[1]ExtEntry!$F45</f>
        <v>445.91</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45968.870776631251</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[1]ExtEntry!$F46</f>
        <v>289.24</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45968.859047638281</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[1]ExtEntry!$F47</f>
        <v>27.95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45968.798113425924</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[1]ExtEntry!$F48</f>
        <v>6.26</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45968.859047638281</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[1]ExtEntry!$F49</f>
        <v>27.27</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45968.798113425924</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[1]ExtEntry!$F50</f>
        <v>58.2</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45968.870779767967</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[1]ExtEntry!$F51</f>
        <v>10.11</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45968.870802522659</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[1]ExtEntry!$F53</f>
        <v>114.5</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45968.87075591406</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[1]ExtEntry!$F54</f>
        <v>6.87</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45968.708333333336</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[1]ExtEntry!$F55</f>
        <v>0.78200000000000003</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45968.870802858597</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[1]ExtEntry!$F56</f>
        <v>2.25</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45968.708333333336</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[1]ExtEntry!$F57</f>
        <v>23.26</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45968.857638888891</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[1]ExtEntry!$F58</f>
        <v>16.079999999999998</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45968.708333333336</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[1]ExtEntry!$F59</f>
        <v>15.948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45968.708333333336</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[1]ExtEntry!$F61</f>
        <v>55.8</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45968.708333333336</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[1]ExtEntry!$F62</f>
        <v>13.94</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45968.859722222223</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[1]ExtEntry!$F63</f>
        <v>43.09</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45968.8125</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[1]ExtEntry!$F64</f>
        <v>217.95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45968.834722222222</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[1]ExtEntry!$F65</f>
        <v>27.95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45968.870792939066</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[1]ExtEntry!$F66</f>
        <v>269.77</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45968.870781133592</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[1]ExtEntry!$F67</f>
        <v>243.04</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45968.708333333336</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[1]ExtEntry!$F68</f>
        <v>895.3</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45968.870802858597</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[1]ExtEntry!$F69</f>
        <v>2.25</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45968.870786099222</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[1]ExtEntry!$F70</f>
        <v>110.49</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45968.870778610937</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[1]ExtEntry!$F71</f>
        <v>68.84</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45968.676040161721</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[1]ExtEntry!$F72</f>
        <v>414.1</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45968.870799733595</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[1]ExtEntry!$F73</f>
        <v>24.33</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45968.870746214845</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[1]ExtEntry!$F74</f>
        <v>1.51</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45968.708333333336</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[1]ExtEntry!$F75</f>
        <v>15.948</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45968.652595601561</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[1]ExtEntry!$F76</f>
        <v>478.5</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45968.870775428128</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[1]ExtEntry!$F77</f>
        <v>12.97</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45968.708333333336</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[1]ExtEntry!$F78</f>
        <v>55.8</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45968.870756168748</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[1]ExtEntry!$F79</f>
        <v>153.79</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45968.870797128904</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[1]ExtEntry!$F80</f>
        <v>787.58</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45968.870737221878</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[1]ExtEntry!$F81</f>
        <v>1.1499999999999999</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45968.870768807814</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[1]ExtEntry!$F82</f>
        <v>31.51</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45968.870784907034</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[1]ExtEntry!$F83</f>
        <v>553.28</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45968.870771296097</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[1]ExtEntry!$F84</f>
        <v>7.59</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45968.870789964843</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[1]ExtEntry!$F85</f>
        <v>126.57</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45968.708333333336</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[1]ExtEntry!$F86</f>
        <v>13.94</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45968.870783159378</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[1]ExtEntry!$F87</f>
        <v>40.299999999999997</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45968.870796515628</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[1]ExtEntry!$F88</f>
        <v>24.42</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45968.870769803128</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[1]ExtEntry!$F89</f>
        <v>3.9</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45968.870796642972</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[1]ExtEntry!$F90</f>
        <v>36.729999999999997</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45968.87078188594</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[1]ExtEntry!$F91</f>
        <v>70.930000000000007</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45968.870676296094</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[1]ExtEntry!$F92</f>
        <v>204.19</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45968.729178240741</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[1]ExtEntry!$F94</f>
        <v>10.199999999999999</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45968.708333333336</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[1]ExtEntry!$F95</f>
        <v>895.3</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45968.857638888891</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[1]ExtEntry!$F96</f>
        <v>16.079999999999998</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45968.870792939066</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45940</v>
      </c>
      <c r="G103" s="117">
        <f t="shared" ca="1" si="5"/>
        <v>45943</v>
      </c>
      <c r="H103" s="117">
        <f t="shared" ca="1" si="5"/>
        <v>45944</v>
      </c>
      <c r="I103" s="117">
        <f t="shared" ca="1" si="5"/>
        <v>45945</v>
      </c>
      <c r="J103" s="117">
        <f t="shared" ca="1" si="5"/>
        <v>45946</v>
      </c>
      <c r="K103" s="117">
        <f t="shared" ca="1" si="5"/>
        <v>45947</v>
      </c>
      <c r="L103" s="117">
        <f t="shared" ca="1" si="5"/>
        <v>45950</v>
      </c>
      <c r="M103" s="117">
        <f t="shared" ca="1" si="5"/>
        <v>45951</v>
      </c>
      <c r="N103" s="117">
        <f t="shared" ca="1" si="5"/>
        <v>45952</v>
      </c>
      <c r="O103" s="117">
        <f t="shared" ca="1" si="5"/>
        <v>45953</v>
      </c>
      <c r="P103" s="117">
        <f t="shared" ca="1" si="5"/>
        <v>45954</v>
      </c>
      <c r="Q103" s="117">
        <f t="shared" ca="1" si="5"/>
        <v>45957</v>
      </c>
      <c r="R103" s="117">
        <f t="shared" ca="1" si="5"/>
        <v>45958</v>
      </c>
      <c r="S103" s="117">
        <f t="shared" ca="1" si="5"/>
        <v>45959</v>
      </c>
      <c r="T103" s="117">
        <f t="shared" ca="1" si="5"/>
        <v>45960</v>
      </c>
      <c r="U103" s="117">
        <f t="shared" ca="1" si="5"/>
        <v>45961</v>
      </c>
      <c r="V103" s="117">
        <f t="shared" ca="1" si="5"/>
        <v>45964</v>
      </c>
      <c r="W103" s="117">
        <f t="shared" ca="1" si="5"/>
        <v>45965</v>
      </c>
      <c r="X103" s="117">
        <f t="shared" ca="1" si="5"/>
        <v>45966</v>
      </c>
      <c r="Y103" s="117">
        <f t="shared" ca="1" si="5"/>
        <v>45967</v>
      </c>
      <c r="Z103" s="117">
        <f t="shared" ca="1" si="5"/>
        <v>45968</v>
      </c>
      <c r="AB103" s="117">
        <f t="shared" ref="AB103:AV103" ca="1" si="6">F103</f>
        <v>45940</v>
      </c>
      <c r="AC103" s="117">
        <f t="shared" ca="1" si="6"/>
        <v>45943</v>
      </c>
      <c r="AD103" s="117">
        <f t="shared" ca="1" si="6"/>
        <v>45944</v>
      </c>
      <c r="AE103" s="117">
        <f t="shared" ca="1" si="6"/>
        <v>45945</v>
      </c>
      <c r="AF103" s="117">
        <f t="shared" ca="1" si="6"/>
        <v>45946</v>
      </c>
      <c r="AG103" s="117">
        <f t="shared" ca="1" si="6"/>
        <v>45947</v>
      </c>
      <c r="AH103" s="117">
        <f t="shared" ca="1" si="6"/>
        <v>45950</v>
      </c>
      <c r="AI103" s="117">
        <f t="shared" ca="1" si="6"/>
        <v>45951</v>
      </c>
      <c r="AJ103" s="117">
        <f t="shared" ca="1" si="6"/>
        <v>45952</v>
      </c>
      <c r="AK103" s="117">
        <f t="shared" ca="1" si="6"/>
        <v>45953</v>
      </c>
      <c r="AL103" s="117">
        <f t="shared" ca="1" si="6"/>
        <v>45954</v>
      </c>
      <c r="AM103" s="117">
        <f t="shared" ca="1" si="6"/>
        <v>45957</v>
      </c>
      <c r="AN103" s="117">
        <f t="shared" ca="1" si="6"/>
        <v>45958</v>
      </c>
      <c r="AO103" s="117">
        <f t="shared" ca="1" si="6"/>
        <v>45959</v>
      </c>
      <c r="AP103" s="117">
        <f t="shared" ca="1" si="6"/>
        <v>45960</v>
      </c>
      <c r="AQ103" s="117">
        <f t="shared" ca="1" si="6"/>
        <v>45961</v>
      </c>
      <c r="AR103" s="117">
        <f t="shared" ca="1" si="6"/>
        <v>45964</v>
      </c>
      <c r="AS103" s="117">
        <f t="shared" ca="1" si="6"/>
        <v>45965</v>
      </c>
      <c r="AT103" s="117">
        <f t="shared" ca="1" si="6"/>
        <v>45966</v>
      </c>
      <c r="AU103" s="117">
        <f t="shared" ca="1" si="6"/>
        <v>45967</v>
      </c>
      <c r="AV103" s="117">
        <f t="shared" ca="1" si="6"/>
        <v>45968</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[1]ExtEntry!$G3</f>
        <v>269.77</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0.75361006056948199</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[1]ExtEntry!$G4</f>
        <v>13.81</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1.3883562973538</v>
      </c>
      <c r="AW106" s="273"/>
      <c r="AX106" s="88" t="str">
        <f t="shared" ca="1" si="8"/>
        <v>ADEA</v>
      </c>
      <c r="CP106" s="273"/>
      <c r="EH106" s="110"/>
    </row>
    <row r="107" spans="1:248" x14ac:dyDescent="0.3">
      <c r="A107" s="239" t="str">
        <f t="shared" ca="1" si="7"/>
        <v>AET</v>
      </c>
      <c r="B107" s="240" t="str">
        <f ca="1">[1]ExtEntry!$D5</f>
        <v>GBp</v>
      </c>
      <c r="C107" s="241"/>
      <c r="D107" s="1106">
        <f>ROW()</f>
        <v>107</v>
      </c>
      <c r="E107" s="242"/>
      <c r="F107" s="243">
        <v>46.1</v>
      </c>
      <c r="G107" s="243" t="e" vm="424">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[1]ExtEntry!$G5</f>
        <v>44.7</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0.22856548590445105</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[1]ExtEntry!$G6</f>
        <v>243</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0.6942070189669548</v>
      </c>
      <c r="AW108" s="277"/>
      <c r="AX108" s="88" t="str">
        <f t="shared" ca="1" si="8"/>
        <v>AMZN</v>
      </c>
      <c r="BA108" s="251">
        <v>1886</v>
      </c>
      <c r="CP108" s="275"/>
      <c r="EH108" s="110"/>
    </row>
    <row r="109" spans="1:248" x14ac:dyDescent="0.3">
      <c r="A109" s="239" t="str">
        <f t="shared" ca="1" si="7"/>
        <v>ALDNE</v>
      </c>
      <c r="B109" s="240" t="str">
        <f ca="1">[1]ExtEntry!$D7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[1]ExtEntry!$G7</f>
        <v>0.78</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0.32673879443585779</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[1]ExtEntry!$G8</f>
        <v>899</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1.4227731762002704</v>
      </c>
      <c r="AW110" s="277"/>
      <c r="AX110" s="88" t="str">
        <f t="shared" ca="1" si="8"/>
        <v>ASML</v>
      </c>
      <c r="BA110" s="251">
        <v>2084</v>
      </c>
      <c r="CP110" s="275"/>
      <c r="EH110" s="110"/>
    </row>
    <row r="111" spans="1:248" x14ac:dyDescent="0.3">
      <c r="A111" s="239" t="str">
        <f t="shared" ca="1" si="7"/>
        <v>AVGO</v>
      </c>
      <c r="B111" s="240" t="str">
        <f ca="1">[1]ExtEntry!$D11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[1]ExtEntry!$G9</f>
        <v>354.18</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0.80981317518787777</v>
      </c>
      <c r="AW111" s="277"/>
      <c r="AX111" s="88" t="str">
        <f t="shared" ca="1" si="8"/>
        <v>AVGO</v>
      </c>
      <c r="BA111" s="251">
        <v>2183</v>
      </c>
      <c r="CP111" s="275"/>
      <c r="EH111" s="110"/>
    </row>
    <row r="112" spans="1:248" hidden="1" x14ac:dyDescent="0.3">
      <c r="A112" s="239" t="str">
        <f t="shared" ca="1" si="7"/>
        <v>AZN</v>
      </c>
      <c r="B112" s="248" t="str">
        <f ca="1">[1]ExtEntry!$D12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[1]ExtEntry!$G10</f>
        <v>84.51</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0.66882833672373876</v>
      </c>
      <c r="AW112" s="277"/>
      <c r="AX112" s="88" t="str">
        <f t="shared" ca="1" si="8"/>
        <v>AZN</v>
      </c>
      <c r="BA112" s="251">
        <v>2282</v>
      </c>
      <c r="CP112" s="275"/>
      <c r="EH112" s="110"/>
    </row>
    <row r="113" spans="1:138" hidden="1" x14ac:dyDescent="0.3">
      <c r="A113" s="239" t="str">
        <f t="shared" ca="1" si="7"/>
        <v>BLDP</v>
      </c>
      <c r="B113" s="240" t="str">
        <f ca="1">[1]ExtEntry!$D13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[1]ExtEntry!$G11</f>
        <v>3.41</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0.67292193067776529</v>
      </c>
      <c r="AW113" s="277"/>
      <c r="AX113" s="88" t="str">
        <f t="shared" ca="1" si="8"/>
        <v>BLDP</v>
      </c>
      <c r="BA113" s="251">
        <v>2381</v>
      </c>
      <c r="CP113" s="275"/>
      <c r="EH113" s="110"/>
    </row>
    <row r="114" spans="1:138" hidden="1" x14ac:dyDescent="0.3">
      <c r="A114" s="239" t="str">
        <f t="shared" ca="1" si="7"/>
        <v>BMRA</v>
      </c>
      <c r="B114" s="248" t="str">
        <f ca="1">[1]ExtEntry!$D14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[1]ExtEntry!$G12</f>
        <v>2.4700000000000002</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0.11485061080312024</v>
      </c>
      <c r="AW114" s="277"/>
      <c r="AX114" s="88" t="str">
        <f t="shared" ca="1" si="8"/>
        <v>BMRA</v>
      </c>
      <c r="BA114" s="251">
        <v>2480</v>
      </c>
      <c r="CP114" s="275"/>
      <c r="EH114" s="110"/>
    </row>
    <row r="115" spans="1:138" hidden="1" x14ac:dyDescent="0.3">
      <c r="A115" s="239" t="str">
        <f t="shared" ca="1" si="7"/>
        <v>C</v>
      </c>
      <c r="B115" s="240" t="str">
        <f ca="1">[1]ExtEntry!$D15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[1]ExtEntry!$G13</f>
        <v>100.41</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0.88466405030695294</v>
      </c>
      <c r="AW115" s="277"/>
      <c r="AX115" s="88" t="str">
        <f t="shared" ca="1" si="8"/>
        <v>C</v>
      </c>
      <c r="BA115" s="251">
        <v>2579</v>
      </c>
      <c r="CP115" s="275"/>
      <c r="EH115" s="110"/>
    </row>
    <row r="116" spans="1:138" hidden="1" x14ac:dyDescent="0.3">
      <c r="A116" s="239" t="str">
        <f t="shared" ca="1" si="7"/>
        <v>CSCO</v>
      </c>
      <c r="B116" s="248" t="str">
        <f ca="1">[1]ExtEntry!$D16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[1]ExtEntry!$G14</f>
        <v>71.39</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0.61914118961950071</v>
      </c>
      <c r="AW116" s="277"/>
      <c r="AX116" s="88" t="str">
        <f t="shared" ca="1" si="8"/>
        <v>CSCO</v>
      </c>
      <c r="BA116" s="251">
        <v>2678</v>
      </c>
      <c r="CP116" s="275"/>
      <c r="EH116" s="110"/>
    </row>
    <row r="117" spans="1:138" hidden="1" x14ac:dyDescent="0.3">
      <c r="A117" s="239" t="str">
        <f t="shared" ca="1" si="7"/>
        <v>CVS</v>
      </c>
      <c r="B117" s="240" t="str">
        <f ca="1">[1]ExtEntry!$D17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[1]ExtEntry!$G15</f>
        <v>78.989999999999995</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0.36095784006590592</v>
      </c>
      <c r="AW117" s="277"/>
      <c r="AX117" s="88" t="str">
        <f t="shared" ca="1" si="8"/>
        <v>CVS</v>
      </c>
      <c r="BA117" s="251">
        <v>2777</v>
      </c>
      <c r="CP117" s="275"/>
      <c r="EH117" s="110"/>
    </row>
    <row r="118" spans="1:138" hidden="1" x14ac:dyDescent="0.3">
      <c r="A118" s="239" t="str">
        <f t="shared" ca="1" si="7"/>
        <v>DDD</v>
      </c>
      <c r="B118" s="248" t="str">
        <f ca="1">[1]ExtEntry!$D18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[1]ExtEntry!$G16</f>
        <v>2.2200000000000002</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0.54788075577674089</v>
      </c>
      <c r="AW118" s="277"/>
      <c r="AX118" s="88" t="str">
        <f t="shared" ca="1" si="8"/>
        <v>DDD</v>
      </c>
      <c r="BA118" s="251">
        <v>2876</v>
      </c>
      <c r="CP118" s="275"/>
      <c r="EH118" s="110"/>
    </row>
    <row r="119" spans="1:138" hidden="1" x14ac:dyDescent="0.3">
      <c r="A119" s="239" t="str">
        <f t="shared" ca="1" si="7"/>
        <v>DIS</v>
      </c>
      <c r="B119" s="240" t="str">
        <f ca="1">[1]ExtEntry!$D19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[1]ExtEntry!$G17</f>
        <v>110.35</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0.86820077434090825</v>
      </c>
      <c r="AW119" s="277"/>
      <c r="AX119" s="88" t="str">
        <f t="shared" ca="1" si="8"/>
        <v>DIS</v>
      </c>
      <c r="BA119" s="251">
        <v>2975</v>
      </c>
      <c r="CP119" s="275"/>
      <c r="EH119" s="110"/>
    </row>
    <row r="120" spans="1:138" hidden="1" x14ac:dyDescent="0.3">
      <c r="A120" s="239" t="str">
        <f t="shared" ca="1" si="7"/>
        <v>DSY</v>
      </c>
      <c r="B120" s="248" t="str">
        <f ca="1">[1]ExtEntry!$D20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[1]ExtEntry!$G18</f>
        <v>23.34</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0.97018179551316519</v>
      </c>
      <c r="AW120" s="277"/>
      <c r="AX120" s="88" t="str">
        <f t="shared" ca="1" si="8"/>
        <v>DSY</v>
      </c>
      <c r="BA120" s="251">
        <v>3074</v>
      </c>
      <c r="CP120" s="275"/>
      <c r="EH120" s="110"/>
    </row>
    <row r="121" spans="1:138" hidden="1" x14ac:dyDescent="0.3">
      <c r="A121" s="239" t="str">
        <f t="shared" ca="1" si="7"/>
        <v>DVA</v>
      </c>
      <c r="B121" s="240" t="str">
        <f ca="1">[1]ExtEntry!$D21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[1]ExtEntry!$G19</f>
        <v>121.06</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0.87413345869595827</v>
      </c>
      <c r="AW121" s="277"/>
      <c r="AX121" s="88" t="str">
        <f t="shared" ca="1" si="8"/>
        <v>DVA</v>
      </c>
      <c r="BA121" s="251">
        <v>3173</v>
      </c>
      <c r="CP121" s="275"/>
      <c r="EH121" s="110"/>
    </row>
    <row r="122" spans="1:138" hidden="1" x14ac:dyDescent="0.3">
      <c r="A122" s="239" t="str">
        <f t="shared" ca="1" si="7"/>
        <v>DXC</v>
      </c>
      <c r="B122" s="248" t="str">
        <f ca="1">[1]ExtEntry!$D22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[1]ExtEntry!$G20</f>
        <v>13.5</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0.58101947699442602</v>
      </c>
      <c r="AW122" s="277"/>
      <c r="AX122" s="88" t="str">
        <f t="shared" ca="1" si="8"/>
        <v>DXC</v>
      </c>
      <c r="BA122" s="251">
        <v>3272</v>
      </c>
      <c r="CP122" s="275"/>
      <c r="EH122" s="110"/>
    </row>
    <row r="123" spans="1:138" hidden="1" x14ac:dyDescent="0.3">
      <c r="A123" s="239" t="str">
        <f t="shared" ca="1" si="7"/>
        <v>EOAN</v>
      </c>
      <c r="B123" s="240" t="str">
        <f ca="1">[1]ExtEntry!$D23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[1]ExtEntry!$G21</f>
        <v>16.105</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1.3773604663339033E-3</v>
      </c>
      <c r="AW123" s="277"/>
      <c r="AX123" s="88" t="str">
        <f t="shared" ca="1" si="8"/>
        <v>EOAN</v>
      </c>
      <c r="BA123" s="251">
        <v>3371</v>
      </c>
      <c r="CP123" s="275"/>
      <c r="EH123" s="110"/>
    </row>
    <row r="124" spans="1:138" hidden="1"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1.8522760022071003</v>
      </c>
      <c r="AW124" s="277"/>
      <c r="AX124" s="88" t="str">
        <f t="shared" ca="1" si="8"/>
        <v>EPIX</v>
      </c>
      <c r="BA124" s="251">
        <v>3470</v>
      </c>
      <c r="CP124" s="275"/>
      <c r="EH124" s="110"/>
    </row>
    <row r="125" spans="1:138" hidden="1" x14ac:dyDescent="0.3">
      <c r="A125" s="239" t="str">
        <f t="shared" ca="1" si="7"/>
        <v>GM</v>
      </c>
      <c r="B125" s="240" t="str">
        <f ca="1">[1]ExtEntry!$D25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[1]ExtEntry!$G23</f>
        <v>68.94</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0.5369764209337996</v>
      </c>
      <c r="AW125" s="277"/>
      <c r="AX125" s="88" t="str">
        <f t="shared" ca="1" si="8"/>
        <v>GM</v>
      </c>
      <c r="BA125" s="251">
        <v>3569</v>
      </c>
      <c r="CP125" s="275"/>
      <c r="EH125" s="110"/>
    </row>
    <row r="126" spans="1:138" hidden="1" x14ac:dyDescent="0.3">
      <c r="A126" s="239" t="str">
        <f t="shared" ca="1" si="7"/>
        <v>HPE</v>
      </c>
      <c r="B126" s="248" t="str">
        <f ca="1">[1]ExtEntry!$D26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[1]ExtEntry!$G24</f>
        <v>23.27</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0.50246663956149196</v>
      </c>
      <c r="AW126" s="277"/>
      <c r="AX126" s="88" t="str">
        <f t="shared" ca="1" si="8"/>
        <v>HPE</v>
      </c>
      <c r="BA126" s="251">
        <v>3668</v>
      </c>
      <c r="CP126" s="275"/>
      <c r="EH126" s="110"/>
    </row>
    <row r="127" spans="1:138" hidden="1" x14ac:dyDescent="0.3">
      <c r="A127" s="239" t="str">
        <f t="shared" ca="1" si="7"/>
        <v>HPQ</v>
      </c>
      <c r="B127" s="240" t="str">
        <f ca="1">[1]ExtEntry!$D27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[1]ExtEntry!$G25</f>
        <v>26.03</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0.50945639164193712</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[1]ExtEntry!$G26</f>
        <v>388</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3.8509130711539581</v>
      </c>
      <c r="AW128" s="277"/>
      <c r="AX128" s="88" t="str">
        <f t="shared" ca="1" si="8"/>
        <v>IAG</v>
      </c>
      <c r="BA128" s="251">
        <v>3866</v>
      </c>
      <c r="CP128" s="275"/>
      <c r="EH128" s="110"/>
    </row>
    <row r="129" spans="1:138" hidden="1" x14ac:dyDescent="0.3">
      <c r="A129" s="239" t="str">
        <f t="shared" ca="1" si="7"/>
        <v>KR</v>
      </c>
      <c r="B129" s="240" t="str">
        <f ca="1">[1]ExtEntry!$D29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[1]ExtEntry!$G27</f>
        <v>63.805</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0.85989897177837271</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[1]ExtEntry!$G28</f>
        <v>11.44</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2.7624119502200064</v>
      </c>
      <c r="AW130" s="277"/>
      <c r="AX130" s="88" t="str">
        <f t="shared" ca="1" si="8"/>
        <v>LNSR</v>
      </c>
      <c r="BA130" s="251">
        <v>4064</v>
      </c>
      <c r="CP130" s="275"/>
      <c r="EH130" s="110"/>
    </row>
    <row r="131" spans="1:138" hidden="1" x14ac:dyDescent="0.3">
      <c r="A131" s="239" t="str">
        <f t="shared" ca="1" si="7"/>
        <v>LUMN</v>
      </c>
      <c r="B131" s="240" t="str">
        <f ca="1">[1]ExtEntry!$D31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[1]ExtEntry!$G29</f>
        <v>10.88</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0.77531527078625462</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[1]ExtEntry!$G30</f>
        <v>23.87</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0.77200431078922915</v>
      </c>
      <c r="AW132" s="277"/>
      <c r="AX132" s="88" t="str">
        <f t="shared" ca="1" si="8"/>
        <v>MRNA</v>
      </c>
      <c r="BA132" s="251">
        <v>4262</v>
      </c>
      <c r="CP132" s="275"/>
      <c r="EH132" s="110"/>
    </row>
    <row r="133" spans="1:138" hidden="1" x14ac:dyDescent="0.3">
      <c r="A133" s="239" t="str">
        <f t="shared" ca="1" si="7"/>
        <v>MSFT</v>
      </c>
      <c r="B133" s="240" t="str">
        <f ca="1">[1]ExtEntry!$D33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[1]ExtEntry!$G31</f>
        <v>497</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0.80134100862322255</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[1]ExtEntry!$G32</f>
        <v>81.78</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0.69580457722675726</v>
      </c>
      <c r="AW134" s="277"/>
      <c r="AX134" s="88" t="str">
        <f t="shared" ca="1" si="8"/>
        <v>NEE</v>
      </c>
      <c r="BA134" s="251">
        <v>4460</v>
      </c>
      <c r="CP134" s="275"/>
      <c r="EH134" s="110"/>
    </row>
    <row r="135" spans="1:138" hidden="1" x14ac:dyDescent="0.3">
      <c r="A135" s="239" t="str">
        <f t="shared" ca="1" si="7"/>
        <v>NEM</v>
      </c>
      <c r="B135" s="240" t="str">
        <f ca="1">[1]ExtEntry!$D35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[1]ExtEntry!$G33</f>
        <v>83.28</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0.40252538018308653</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[1]ExtEntry!$G34</f>
        <v>1093.06</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0.70146614838085575</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[1]ExtEntry!$G35</f>
        <v>2.67</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1.7209378846883396</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[1]ExtEntry!$G36</f>
        <v>34.090000000000003</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0.4777762763177395</v>
      </c>
      <c r="AW138" s="277"/>
      <c r="AX138" s="88" t="str">
        <f t="shared" ca="1" si="10"/>
        <v>PAAS</v>
      </c>
      <c r="BA138" s="251">
        <v>4856</v>
      </c>
      <c r="CP138" s="275"/>
      <c r="EH138" s="110"/>
    </row>
    <row r="139" spans="1:138" hidden="1" x14ac:dyDescent="0.3">
      <c r="A139" s="239" t="str">
        <f t="shared" ca="1" si="9"/>
        <v>PROF</v>
      </c>
      <c r="B139" s="240" t="str">
        <f ca="1">[1]ExtEntry!$D39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[1]ExtEntry!$G37</f>
        <v>5.81</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0.46411032434901783</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[1]ExtEntry!$G38</f>
        <v>5.1100000000000003</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0.54843184414934687</v>
      </c>
      <c r="AW140" s="277"/>
      <c r="AX140" s="88" t="str">
        <f t="shared" ca="1" si="10"/>
        <v>POET</v>
      </c>
      <c r="BA140" s="251">
        <v>5054</v>
      </c>
      <c r="CP140" s="275"/>
      <c r="EH140" s="110"/>
    </row>
    <row r="141" spans="1:138" hidden="1" x14ac:dyDescent="0.3">
      <c r="A141" s="239" t="str">
        <f t="shared" ca="1" si="9"/>
        <v>PW</v>
      </c>
      <c r="B141" s="240" t="str">
        <f ca="1">[1]ExtEntry!$D41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[1]ExtEntry!$G39</f>
        <v>0.65069999999999995</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0.20576201264667096</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[1]ExtEntry!$G40</f>
        <v>35.369999999999997</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0.80964531679843854</v>
      </c>
      <c r="AW142" s="277"/>
      <c r="AX142" s="88" t="str">
        <f t="shared" ca="1" si="10"/>
        <v>RIGL</v>
      </c>
      <c r="BA142" s="251">
        <v>5252</v>
      </c>
      <c r="CP142" s="275"/>
      <c r="EH142" s="110"/>
    </row>
    <row r="143" spans="1:138" hidden="1" x14ac:dyDescent="0.3">
      <c r="A143" s="239" t="str">
        <f t="shared" ca="1" si="9"/>
        <v>RWE</v>
      </c>
      <c r="B143" s="240" t="str">
        <f ca="1">[1]ExtEntry!$D43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[1]ExtEntry!$G41</f>
        <v>43.11</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4.4524727823072796E-3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[1]ExtEntry!$G42</f>
        <v>219.65</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1.1597733249552002</v>
      </c>
      <c r="AW144" s="277"/>
      <c r="AX144" s="88" t="str">
        <f t="shared" ca="1" si="10"/>
        <v>SAP</v>
      </c>
      <c r="BA144" s="251">
        <v>5450</v>
      </c>
      <c r="CP144" s="275"/>
      <c r="EH144" s="110"/>
    </row>
    <row r="145" spans="1:138" hidden="1" x14ac:dyDescent="0.3">
      <c r="A145" s="239" t="str">
        <f t="shared" ca="1" si="9"/>
        <v>SHECY</v>
      </c>
      <c r="B145" s="240" t="str">
        <f ca="1">[1]ExtEntry!$D45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[1]ExtEntry!$G43</f>
        <v>14.335000000000001</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4.9657928425179201E-2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[1]ExtEntry!$G44</f>
        <v>9.26</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0.53756772213783643</v>
      </c>
      <c r="AW146" s="277"/>
      <c r="AX146" s="88" t="str">
        <f t="shared" ca="1" si="10"/>
        <v>SSYS</v>
      </c>
      <c r="BA146" s="251">
        <v>5648</v>
      </c>
      <c r="CP146" s="275"/>
      <c r="EH146" s="110"/>
    </row>
    <row r="147" spans="1:138" hidden="1" x14ac:dyDescent="0.3">
      <c r="A147" s="239" t="str">
        <f t="shared" ca="1" si="9"/>
        <v>TSLA</v>
      </c>
      <c r="B147" s="240" t="str">
        <f ca="1">[1]ExtEntry!$D47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[1]ExtEntry!$G45</f>
        <v>437.6</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1.0965756499001196</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[1]ExtEntry!$G46</f>
        <v>285.10500000000002</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0.9367792081917965</v>
      </c>
      <c r="AW148" s="277"/>
      <c r="AX148" s="88" t="str">
        <f t="shared" ca="1" si="10"/>
        <v>TSM</v>
      </c>
      <c r="BA148" s="251">
        <v>5846</v>
      </c>
      <c r="CP148" s="275"/>
      <c r="EH148" s="110"/>
    </row>
    <row r="149" spans="1:138" hidden="1" x14ac:dyDescent="0.3">
      <c r="A149" s="239" t="str">
        <f t="shared" ca="1" si="9"/>
        <v>UN0</v>
      </c>
      <c r="B149" s="240" t="e">
        <f>[1]ExtEntry!#REF!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[1]ExtEntry!$G47</f>
        <v>28.4</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1.1342155009451797E-2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[1]ExtEntry!$G48</f>
        <v>6.24</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0.91417887555869204</v>
      </c>
      <c r="AW150" s="277"/>
      <c r="AX150" s="88" t="str">
        <f t="shared" ca="1" si="10"/>
        <v>UNIT</v>
      </c>
      <c r="BA150" s="251">
        <v>6044</v>
      </c>
      <c r="CP150" s="275"/>
      <c r="EH150" s="110"/>
    </row>
    <row r="151" spans="1:138" hidden="1" x14ac:dyDescent="0.3">
      <c r="A151" s="239" t="str">
        <f t="shared" ca="1" si="9"/>
        <v>VLVLY</v>
      </c>
      <c r="B151" s="240" t="str">
        <f ca="1">[1]ExtEntry!$D49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[1]ExtEntry!$G49</f>
        <v>27.04</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2.7336551328617856E-2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[1]ExtEntry!$G50</f>
        <v>58.4</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0.76176321138211378</v>
      </c>
      <c r="AW152" s="277"/>
      <c r="AX152" s="88" t="str">
        <f t="shared" ca="1" si="10"/>
        <v>VONN</v>
      </c>
      <c r="BA152" s="251">
        <v>6242</v>
      </c>
      <c r="CP152" s="275"/>
      <c r="EH152" s="110"/>
    </row>
    <row r="153" spans="1:138" hidden="1" x14ac:dyDescent="0.3">
      <c r="A153" s="239" t="str">
        <f t="shared" ca="1" si="9"/>
        <v>VTRS</v>
      </c>
      <c r="B153" s="240" t="str">
        <f ca="1">[1]ExtEntry!$D51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[1]ExtEntry!$G51</f>
        <v>10.07</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1.133621174719351</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[1]ExtEntry!$G53</f>
        <v>115.17</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0.81372672061593609</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[1]ExtEntry!$G54</f>
        <v>6.6749999999999998</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0.78591379491869373</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[1]ExtEntry!$G55</f>
        <v>0.78</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0.32673879443585779</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[1]ExtEntry!$G56</f>
        <v>2.2200000000000002</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0.54788075577674089</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[1]ExtEntry!$G57</f>
        <v>23.34</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0.97018179551316519</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[1]ExtEntry!$G58</f>
        <v>16.105</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1.3773604663339033E-3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[1]ExtEntry!$G59</f>
        <v>16.010000000000002</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0.59620640604938813</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[1]ExtEntry!$G61</f>
        <v>56.08</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0.71645315441424917</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[1]ExtEntry!$G62</f>
        <v>13.95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1.0808883296742351</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[1]ExtEntry!$G63</f>
        <v>43.11</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4.4524727823072796E-3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[1]ExtEntry!$G64</f>
        <v>219.65</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1.1597733249552002</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[1]ExtEntry!$G65</f>
        <v>28.4</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1.1342155009451797E-2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[1]ExtEntry!$G66</f>
        <v>269.77</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0.75361006056948199</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[1]ExtEntry!$G67</f>
        <v>243</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0.6942070189669548</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[1]ExtEntry!$G68</f>
        <v>899</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1.4227731762002704</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[1]ExtEntry!$G69</f>
        <v>2.2200000000000002</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0.54788075577674089</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[1]ExtEntry!$G70</f>
        <v>110.35</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0.86820077434090825</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[1]ExtEntry!$G71</f>
        <v>68.94</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0.5369764209337996</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[1]ExtEntry!$G72</f>
        <v>388</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3.8509130711539581</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[1]ExtEntry!$G73</f>
        <v>23.87</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0.77200431078922915</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[1]ExtEntry!$G74</f>
        <v>1.37</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0.47099359807750735</v>
      </c>
      <c r="AW176" s="277"/>
      <c r="AX176" s="88" t="str">
        <f t="shared" ca="1" si="12"/>
        <v>BLNK</v>
      </c>
      <c r="BA176" s="251">
        <v>8618</v>
      </c>
      <c r="CP176" s="275"/>
      <c r="EH176" s="110"/>
    </row>
    <row r="177" spans="1:138" hidden="1" x14ac:dyDescent="0.3">
      <c r="A177" s="239" t="str">
        <f t="shared" ca="1" si="11"/>
        <v>ENI</v>
      </c>
      <c r="B177" s="240" t="str">
        <f ca="1">[1]ExtEntry!$D75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[1]ExtEntry!$G75</f>
        <v>16.010000000000002</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0.59620640604938813</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[1]ExtEntry!$G76</f>
        <v>478.5</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1.0236134740717646</v>
      </c>
      <c r="AW178" s="277"/>
      <c r="AX178" s="88" t="str">
        <f t="shared" ca="1" si="12"/>
        <v>EZJ</v>
      </c>
      <c r="BA178" s="251">
        <v>8816</v>
      </c>
      <c r="CP178" s="275"/>
      <c r="EH178" s="110"/>
    </row>
    <row r="179" spans="1:138" hidden="1" x14ac:dyDescent="0.3">
      <c r="A179" s="239" t="str">
        <f t="shared" ca="1" si="11"/>
        <v>F</v>
      </c>
      <c r="B179" s="240" t="str">
        <f ca="1">[1]ExtEntry!$D77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[1]ExtEntry!$G77</f>
        <v>12.95</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0.50174709695241093</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[1]ExtEntry!$G78</f>
        <v>56.08</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0.71645315441424917</v>
      </c>
      <c r="AW180" s="277"/>
      <c r="AX180" s="88" t="str">
        <f t="shared" ca="1" si="12"/>
        <v>GLE</v>
      </c>
      <c r="BA180" s="251">
        <v>9014</v>
      </c>
      <c r="CP180" s="275"/>
      <c r="EH180" s="110"/>
    </row>
    <row r="181" spans="1:138" hidden="1" x14ac:dyDescent="0.3">
      <c r="A181" s="239" t="str">
        <f t="shared" ca="1" si="11"/>
        <v>GNRC</v>
      </c>
      <c r="B181" s="240" t="str">
        <f ca="1">[1]ExtEntry!$D79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[1]ExtEntry!$G79</f>
        <v>152.28</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0.73573772972622398</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[1]ExtEntry!$G80</f>
        <v>782.4</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0.79592194313113518</v>
      </c>
      <c r="AW182" s="277"/>
      <c r="AX182" s="88" t="str">
        <f t="shared" ca="1" si="12"/>
        <v>GS</v>
      </c>
      <c r="BA182" s="251">
        <v>9212</v>
      </c>
      <c r="CP182" s="275"/>
      <c r="EH182" s="110"/>
    </row>
    <row r="183" spans="1:138" hidden="1" x14ac:dyDescent="0.3">
      <c r="A183" s="239" t="str">
        <f t="shared" ca="1" si="11"/>
        <v>LAZR</v>
      </c>
      <c r="B183" s="240" t="str">
        <f ca="1">[1]ExtEntry!$D81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[1]ExtEntry!$G81</f>
        <v>1.1599999999999999</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0.35601021921338849</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[1]ExtEntry!$G82</f>
        <v>31.16</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0.64167079567908047</v>
      </c>
      <c r="AW184" s="277"/>
      <c r="AX184" s="88" t="str">
        <f t="shared" ca="1" si="12"/>
        <v>LUV</v>
      </c>
      <c r="BA184" s="251">
        <v>9410</v>
      </c>
      <c r="CP184" s="275"/>
      <c r="EH184" s="110"/>
    </row>
    <row r="185" spans="1:138" hidden="1" x14ac:dyDescent="0.3">
      <c r="A185" s="239" t="str">
        <f t="shared" ca="1" si="11"/>
        <v>MA</v>
      </c>
      <c r="B185" s="240" t="str">
        <f ca="1">[1]ExtEntry!$D83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[1]ExtEntry!$G83</f>
        <v>553.75</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0.61408189407985569</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[1]ExtEntry!$G84</f>
        <v>7.46</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0.9044910655758166</v>
      </c>
      <c r="AW186" s="277"/>
      <c r="AX186" s="88" t="str">
        <f t="shared" ca="1" si="12"/>
        <v>NVAX</v>
      </c>
      <c r="BA186" s="251">
        <v>9608</v>
      </c>
      <c r="CP186" s="275"/>
      <c r="EH186" s="110"/>
    </row>
    <row r="187" spans="1:138" hidden="1" x14ac:dyDescent="0.3">
      <c r="A187" s="239" t="str">
        <f t="shared" ca="1" si="11"/>
        <v>NVS</v>
      </c>
      <c r="B187" s="240" t="str">
        <f ca="1">[1]ExtEntry!$D85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[1]ExtEntry!$G85</f>
        <v>126.47</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0.69127556692117309</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[1]ExtEntry!$G86</f>
        <v>13.95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1.0808883296742351</v>
      </c>
      <c r="AW188" s="277"/>
      <c r="AX188" s="88" t="str">
        <f t="shared" ca="1" si="12"/>
        <v>ORA</v>
      </c>
      <c r="CP188" s="275"/>
      <c r="EH188" s="110"/>
    </row>
    <row r="189" spans="1:138" hidden="1" x14ac:dyDescent="0.3">
      <c r="A189" s="239" t="str">
        <f t="shared" ca="1" si="11"/>
        <v>OXY</v>
      </c>
      <c r="B189" s="240" t="str">
        <f ca="1">[1]ExtEntry!$D87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[1]ExtEntry!$G87</f>
        <v>40.42</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0.73549582470054142</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[1]ExtEntry!$G88</f>
        <v>24.34</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1.5310946563079202</v>
      </c>
      <c r="AW190" s="277"/>
      <c r="AX190" s="88" t="str">
        <f t="shared" ca="1" si="12"/>
        <v>PFE</v>
      </c>
      <c r="CP190" s="275"/>
      <c r="EH190" s="110"/>
    </row>
    <row r="191" spans="1:138" hidden="1" x14ac:dyDescent="0.3">
      <c r="A191" s="239" t="str">
        <f t="shared" ca="1" si="11"/>
        <v>RIG</v>
      </c>
      <c r="B191" s="240" t="str">
        <f ca="1">[1]ExtEntry!$D89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[1]ExtEntry!$G89</f>
        <v>3.89</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0.60737840672962018</v>
      </c>
      <c r="AW191" s="277"/>
      <c r="AX191" s="88" t="str">
        <f t="shared" ca="1" si="12"/>
        <v>RIG</v>
      </c>
      <c r="BS191" s="275"/>
      <c r="CP191" s="275"/>
      <c r="EH191" s="110"/>
    </row>
    <row r="192" spans="1:138" x14ac:dyDescent="0.3">
      <c r="A192" s="239" t="str">
        <f t="shared" ca="1" si="11"/>
        <v>RRC</v>
      </c>
      <c r="B192" s="248" t="str">
        <f ca="1">[1]ExtEntry!$D90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[1]ExtEntry!$G90</f>
        <v>36.58</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0.49833028033451637</v>
      </c>
      <c r="AW192" s="277"/>
      <c r="AX192" s="88" t="str">
        <f t="shared" ca="1" si="12"/>
        <v>RRC</v>
      </c>
      <c r="BS192" s="275"/>
      <c r="CP192" s="275"/>
      <c r="EH192" s="110"/>
    </row>
    <row r="193" spans="1:159" x14ac:dyDescent="0.3">
      <c r="A193" s="239" t="str">
        <f t="shared" ca="1" si="11"/>
        <v>XYZ</v>
      </c>
      <c r="B193" s="240" t="str">
        <f ca="1">[1]ExtEntry!$D91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[1]ExtEntry!$G91</f>
        <v>60.77</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3.4106299247859022</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[1]ExtEntry!$G92</f>
        <v>204.51</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0.3401580045479054</v>
      </c>
      <c r="AW194" s="277"/>
      <c r="AX194" s="88" t="str">
        <f t="shared" ca="1" si="12"/>
        <v>THC</v>
      </c>
      <c r="BS194" s="275"/>
      <c r="CP194" s="275"/>
      <c r="EH194" s="110"/>
    </row>
    <row r="195" spans="1:159" x14ac:dyDescent="0.3">
      <c r="A195" s="239" t="str">
        <f t="shared" ca="1" si="11"/>
        <v>X</v>
      </c>
      <c r="B195" s="240" t="str">
        <f ca="1">[1]ExtEntry!$D93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[1]ExtEntry!$G94</f>
        <v>10.226000000000001</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1</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[1]ExtEntry!$G95</f>
        <v>899</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1.4227731762002704</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[1]ExtEntry!$G96</f>
        <v>16.105</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1.3773604663339033E-3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849.8</v>
      </c>
      <c r="O201"/>
      <c r="P201"/>
      <c r="AA201" s="275"/>
      <c r="AW201" s="277"/>
      <c r="AX201" s="88"/>
      <c r="BS201" s="275"/>
      <c r="CP201" s="275"/>
      <c r="EH201" s="110"/>
    </row>
    <row r="202" spans="1:159" x14ac:dyDescent="0.3">
      <c r="F202" s="93" cm="1">
        <f t="array" aca="1" ref="F202" ca="1">_xlfn.XLOOKUP(DataShiftChartTicker,ListTickers,Tab1Price[Price0])</f>
        <v>849.8</v>
      </c>
      <c r="G202" s="93" cm="1">
        <f t="array" aca="1" ref="G202" ca="1">_xlfn.XLOOKUP(DataShiftChartTicker,ListTickers,Tab1Price[Price1])</f>
        <v>842.3</v>
      </c>
      <c r="H202" s="93" cm="1">
        <f t="array" aca="1" ref="H202" ca="1">_xlfn.XLOOKUP(DataShiftChartTicker,ListTickers,Tab1Price[Price2])</f>
        <v>844</v>
      </c>
      <c r="I202" s="93" cm="1">
        <f t="array" aca="1" ref="I202" ca="1">_xlfn.XLOOKUP(DataShiftChartTicker,ListTickers,Tab1Price[Price3])</f>
        <v>846.6</v>
      </c>
      <c r="J202" s="93" cm="1">
        <f t="array" aca="1" ref="J202" ca="1">_xlfn.XLOOKUP(DataShiftChartTicker,ListTickers,Tab1Price[Price4])</f>
        <v>873</v>
      </c>
      <c r="K202" s="93" cm="1">
        <f t="array" aca="1" ref="K202" ca="1">_xlfn.XLOOKUP(DataShiftChartTicker,ListTickers,Tab1Price[Price5])</f>
        <v>877.4</v>
      </c>
      <c r="L202" s="93" cm="1">
        <f t="array" aca="1" ref="L202" ca="1">_xlfn.XLOOKUP(DataShiftChartTicker,ListTickers,Tab1Price[Price6])</f>
        <v>875.7</v>
      </c>
      <c r="M202" s="93" cm="1">
        <f t="array" aca="1" ref="M202" ca="1">_xlfn.XLOOKUP(DataShiftChartTicker,ListTickers,Tab1Price[Price7])</f>
        <v>899</v>
      </c>
      <c r="N202" s="93" cm="1">
        <f t="array" aca="1" ref="N202" ca="1">_xlfn.XLOOKUP(DataShiftChartTicker,ListTickers,Tab1Price[Price8])</f>
        <v>889.8</v>
      </c>
      <c r="O202" s="93" cm="1">
        <f t="array" aca="1" ref="O202" ca="1">_xlfn.XLOOKUP(DataShiftChartTicker,ListTickers,Tab1Price[Price9])</f>
        <v>870.1</v>
      </c>
      <c r="P202" s="93" cm="1">
        <f t="array" aca="1" ref="P202" ca="1">_xlfn.XLOOKUP(DataShiftChartTicker,ListTickers,Tab1Price[Price10])</f>
        <v>870.1</v>
      </c>
      <c r="Q202" s="93" cm="1">
        <f t="array" aca="1" ref="Q202" ca="1">_xlfn.XLOOKUP(DataShiftChartTicker,ListTickers,Tab1Price[Price11])</f>
        <v>887.7</v>
      </c>
      <c r="R202" s="93" cm="1">
        <f t="array" aca="1" ref="R202" ca="1">_xlfn.XLOOKUP(DataShiftChartTicker,ListTickers,Tab1Price[Price12])</f>
        <v>894.4</v>
      </c>
      <c r="S202" s="93" cm="1">
        <f t="array" aca="1" ref="S202" ca="1">_xlfn.XLOOKUP(DataShiftChartTicker,ListTickers,Tab1Price[Price13])</f>
        <v>908.1</v>
      </c>
      <c r="T202" s="93" cm="1">
        <f t="array" aca="1" ref="T202" ca="1">_xlfn.XLOOKUP(DataShiftChartTicker,ListTickers,Tab1Price[Price14])</f>
        <v>907.4</v>
      </c>
      <c r="U202" s="93" cm="1">
        <f t="array" aca="1" ref="U202" ca="1">_xlfn.XLOOKUP(DataShiftChartTicker,ListTickers,Tab1Price[Price15])</f>
        <v>937.5</v>
      </c>
      <c r="V202" s="93" cm="1">
        <f t="array" aca="1" ref="V202" ca="1">_xlfn.XLOOKUP(DataShiftChartTicker,ListTickers,Tab1Price[Price16])</f>
        <v>918</v>
      </c>
      <c r="W202" s="93" cm="1">
        <f t="array" aca="1" ref="W202" ca="1">_xlfn.XLOOKUP(DataShiftChartTicker,ListTickers,Tab1Price[Price17])</f>
        <v>906.6</v>
      </c>
      <c r="X202" s="93" cm="1">
        <f t="array" aca="1" ref="X202" ca="1">_xlfn.XLOOKUP(DataShiftChartTicker,ListTickers,Tab1Price[Price18])</f>
        <v>895.3</v>
      </c>
      <c r="Y202" s="93" cm="1">
        <f t="array" aca="1" ref="Y202" ca="1">_xlfn.XLOOKUP(DataShiftChartTicker,ListTickers,Tab1Price[Price19])</f>
        <v>870.8</v>
      </c>
      <c r="Z202" s="93" cm="1">
        <f t="array" aca="1" ref="Z202" ca="1">_xlfn.XLOOKUP(DataShiftChartTicker,ListTickers,Tab1Price[Price20])</f>
        <v>870.8</v>
      </c>
      <c r="AA202" s="275"/>
      <c r="AW202" s="277"/>
      <c r="AX202" s="88"/>
      <c r="BS202" s="275"/>
      <c r="CP202" s="275"/>
      <c r="EH202" s="110"/>
    </row>
    <row r="203" spans="1:159" x14ac:dyDescent="0.3">
      <c r="E203" s="1160"/>
      <c r="F203" s="117">
        <f t="shared" ref="F203:Z203" ca="1" si="13">F103</f>
        <v>45940</v>
      </c>
      <c r="G203" s="117">
        <f t="shared" ca="1" si="13"/>
        <v>45943</v>
      </c>
      <c r="H203" s="117">
        <f t="shared" ca="1" si="13"/>
        <v>45944</v>
      </c>
      <c r="I203" s="117">
        <f t="shared" ca="1" si="13"/>
        <v>45945</v>
      </c>
      <c r="J203" s="117">
        <f t="shared" ca="1" si="13"/>
        <v>45946</v>
      </c>
      <c r="K203" s="117">
        <f t="shared" ca="1" si="13"/>
        <v>45947</v>
      </c>
      <c r="L203" s="117">
        <f t="shared" ca="1" si="13"/>
        <v>45950</v>
      </c>
      <c r="M203" s="117">
        <f t="shared" ca="1" si="13"/>
        <v>45951</v>
      </c>
      <c r="N203" s="117">
        <f t="shared" ca="1" si="13"/>
        <v>45952</v>
      </c>
      <c r="O203" s="117">
        <f t="shared" ca="1" si="13"/>
        <v>45953</v>
      </c>
      <c r="P203" s="117">
        <f t="shared" ca="1" si="13"/>
        <v>45954</v>
      </c>
      <c r="Q203" s="117">
        <f t="shared" ca="1" si="13"/>
        <v>45957</v>
      </c>
      <c r="R203" s="117">
        <f t="shared" ca="1" si="13"/>
        <v>45958</v>
      </c>
      <c r="S203" s="117">
        <f t="shared" ca="1" si="13"/>
        <v>45959</v>
      </c>
      <c r="T203" s="117">
        <f t="shared" ca="1" si="13"/>
        <v>45960</v>
      </c>
      <c r="U203" s="117">
        <f t="shared" ca="1" si="13"/>
        <v>45961</v>
      </c>
      <c r="V203" s="117">
        <f t="shared" ca="1" si="13"/>
        <v>45964</v>
      </c>
      <c r="W203" s="117">
        <f t="shared" ca="1" si="13"/>
        <v>45965</v>
      </c>
      <c r="X203" s="117">
        <f t="shared" ca="1" si="13"/>
        <v>45966</v>
      </c>
      <c r="Y203" s="117">
        <f t="shared" ca="1" si="13"/>
        <v>45967</v>
      </c>
      <c r="Z203" s="117">
        <f t="shared" ca="1" si="13"/>
        <v>45968</v>
      </c>
      <c r="AA203" s="275"/>
      <c r="AB203" s="117">
        <f t="shared" ref="AB203:AV203" ca="1" si="14">F203</f>
        <v>45940</v>
      </c>
      <c r="AC203" s="117">
        <f t="shared" ca="1" si="14"/>
        <v>45943</v>
      </c>
      <c r="AD203" s="117">
        <f t="shared" ca="1" si="14"/>
        <v>45944</v>
      </c>
      <c r="AE203" s="117">
        <f t="shared" ca="1" si="14"/>
        <v>45945</v>
      </c>
      <c r="AF203" s="117">
        <f t="shared" ca="1" si="14"/>
        <v>45946</v>
      </c>
      <c r="AG203" s="117">
        <f t="shared" ca="1" si="14"/>
        <v>45947</v>
      </c>
      <c r="AH203" s="117">
        <f t="shared" ca="1" si="14"/>
        <v>45950</v>
      </c>
      <c r="AI203" s="117">
        <f t="shared" ca="1" si="14"/>
        <v>45951</v>
      </c>
      <c r="AJ203" s="117">
        <f t="shared" ca="1" si="14"/>
        <v>45952</v>
      </c>
      <c r="AK203" s="117">
        <f t="shared" ca="1" si="14"/>
        <v>45953</v>
      </c>
      <c r="AL203" s="117">
        <f t="shared" ca="1" si="14"/>
        <v>45954</v>
      </c>
      <c r="AM203" s="117">
        <f t="shared" ca="1" si="14"/>
        <v>45957</v>
      </c>
      <c r="AN203" s="117">
        <f t="shared" ca="1" si="14"/>
        <v>45958</v>
      </c>
      <c r="AO203" s="117">
        <f t="shared" ca="1" si="14"/>
        <v>45959</v>
      </c>
      <c r="AP203" s="117">
        <f t="shared" ca="1" si="14"/>
        <v>45960</v>
      </c>
      <c r="AQ203" s="117">
        <f t="shared" ca="1" si="14"/>
        <v>45961</v>
      </c>
      <c r="AR203" s="117">
        <f t="shared" ca="1" si="14"/>
        <v>45964</v>
      </c>
      <c r="AS203" s="117">
        <f t="shared" ca="1" si="14"/>
        <v>45965</v>
      </c>
      <c r="AT203" s="117">
        <f t="shared" ca="1" si="14"/>
        <v>45966</v>
      </c>
      <c r="AU203" s="117">
        <f t="shared" ca="1" si="14"/>
        <v>45967</v>
      </c>
      <c r="AV203" s="117">
        <f t="shared" ca="1" si="14"/>
        <v>45968</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[1]ExtEntry!$H3</f>
        <v>267.99700000000001</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6.0610535714285697E-4</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[1]ExtEntry!$H4</f>
        <v>14.045</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-2.8925714285714262E-3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[1]ExtEntry!$H5</f>
        <v>44.7</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-1.0722053571428572E-2</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[1]ExtEntry!$H6</f>
        <v>244.56</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-4.9345773809523815E-3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[1]ExtEntry!$H7</f>
        <v>0.78</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7.1864880952380965E-4</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[1]ExtEntry!$H8</f>
        <v>870.8</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-7.0868964285714297E-3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[1]ExtEntry!$H9</f>
        <v>347.38499999999999</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3.6409261904761904E-3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[1]ExtEntry!$H10</f>
        <v>84.555000000000007</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-6.0857380952380937E-3</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[1]ExtEntry!$H11</f>
        <v>3.4849999999999999</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-1.0706952380952378E-2</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[1]ExtEntry!$H12</f>
        <v>2.4975000000000001</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1.4236309523809518E-3</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[1]ExtEntry!$H13</f>
        <v>100.52</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-1.0088511904761902E-3</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[1]ExtEntry!$H14</f>
        <v>70.924999999999997</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-5.1113488095238099E-3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[1]ExtEntry!$H15</f>
        <v>78.84</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-1.879520833333333E-2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[1]ExtEntry!$H16</f>
        <v>2.2250000000000001</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-2.3191666666666108E-5</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[1]ExtEntry!$H17</f>
        <v>110.73</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-1.4006375000000003E-3</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[1]ExtEntry!$H18</f>
        <v>23.34</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-1.7650815476190475E-3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[1]ExtEntry!$H19</f>
        <v>123.325</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-9.1286130952380959E-3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[1]ExtEntry!$H20</f>
        <v>13.175000000000001</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2.4683999999999999E-3</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[1]ExtEntry!$H21</f>
        <v>16.105</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-6.5918333333333332E-3</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[1]ExtEntry!$H23</f>
        <v>70.66</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3.2261904761905378E-6</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[1]ExtEntry!$H24</f>
        <v>23.4</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-4.3898928571428561E-3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[1]ExtEntry!$H25</f>
        <v>26.215</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-2.0959545238095234E-2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[1]ExtEntry!$H26</f>
        <v>366.2</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3.9121726190476189E-3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[1]ExtEntry!$H27</f>
        <v>64.905000000000001</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-1.498936904761905E-2</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[1]ExtEntry!$H28</f>
        <v>10.63</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-4.9468690476190454E-3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[1]ExtEntry!$H29</f>
        <v>10.484999999999999</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7.943690476190474E-3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[1]ExtEntry!$H30</f>
        <v>24.524999999999999</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-3.3257021428571435E-3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[1]ExtEntry!$H31</f>
        <v>497.63</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3.071321428571428E-3</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[1]ExtEntry!$H32</f>
        <v>83.71</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4.9143035714285721E-3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[1]ExtEntry!$H33</f>
        <v>83.35</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7.5007166666666647E-3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[1]ExtEntry!$H34</f>
        <v>1099.25</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-1.1808738095238101E-2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[1]ExtEntry!$H35</f>
        <v>3.05</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5.4248636904761921E-3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[1]ExtEntry!$H36</f>
        <v>34.719900000000003</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1.9453839285714286E-2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[1]ExtEntry!$H37</f>
        <v>5.9249999999999998</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-2.8714380952380953E-2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[1]ExtEntry!$H38</f>
        <v>5.3699000000000003</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1.974469642857142E-2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[1]ExtEntry!$H39</f>
        <v>0.66</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1.5923119047619047E-2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[1]ExtEntry!$H40</f>
        <v>35.31</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2.4776148809523813E-3</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[1]ExtEntry!$H41</f>
        <v>42.91</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-4.6476369047619053E-3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[1]ExtEntry!$H42</f>
        <v>215.65</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-3.9141666666666708E-4</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[1]ExtEntry!$H43</f>
        <v>14.69</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-1.5766940476190476E-2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[1]ExtEntry!$H44</f>
        <v>9.4600000000000009</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-8.8006785714285739E-3</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[1]ExtEntry!$H45</f>
        <v>430.03</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-4.5635494047619046E-3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[1]ExtEntry!$H46</f>
        <v>285.85000000000002</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7.5879761904761988E-4</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[1]ExtEntry!$H47</f>
        <v>28.5</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1.1356714285714284E-2</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[1]ExtEntry!$H48</f>
        <v>6.5650000000000004</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[1]ExtEntry!$H49</f>
        <v>27.416499999999999</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3.0195535714285723E-3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[1]ExtEntry!$H50</f>
        <v>58.3</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-4.0070059523809529E-3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[1]ExtEntry!$H51</f>
        <v>10.074999999999999</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-5.5099499999999996E-3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[1]ExtEntry!$H53</f>
        <v>117.39</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1.2934964285714282E-3</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[1]ExtEntry!$H54</f>
        <v>6.5984999999999996</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-5.145547619047619E-3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[1]ExtEntry!$H55</f>
        <v>0.78</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7.1864880952380965E-4</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[1]ExtEntry!$H56</f>
        <v>2.2250000000000001</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-1.879520833333333E-2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[1]ExtEntry!$H57</f>
        <v>23.34</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-1.4006375000000003E-3</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[1]ExtEntry!$H58</f>
        <v>16.105</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2.4683999999999999E-3</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[1]ExtEntry!$H59</f>
        <v>15.932</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-3.3662380952380949E-3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[1]ExtEntry!$H61</f>
        <v>54.64</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-3.2292559523809522E-3</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[1]ExtEntry!$H62</f>
        <v>14.164999999999999</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1.9276964285714288E-3</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[1]ExtEntry!$H63</f>
        <v>42.91</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2.4776148809523813E-3</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[1]ExtEntry!$H64</f>
        <v>215.65</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-4.6476369047619053E-3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[1]ExtEntry!$H65</f>
        <v>28.5</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7.5879761904761988E-4</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[1]ExtEntry!$H66</f>
        <v>267.99700000000001</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6.0610535714285697E-4</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[1]ExtEntry!$H67</f>
        <v>244.56</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-4.9345773809523815E-3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[1]ExtEntry!$H68</f>
        <v>870.8</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-7.0868964285714297E-3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[1]ExtEntry!$H69</f>
        <v>2.2250000000000001</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-1.879520833333333E-2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[1]ExtEntry!$H70</f>
        <v>110.73</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-2.3191666666666108E-5</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[1]ExtEntry!$H71</f>
        <v>70.66</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-6.5918333333333332E-3</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[1]ExtEntry!$H72</f>
        <v>366.2</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-2.0959545238095234E-2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[1]ExtEntry!$H73</f>
        <v>24.524999999999999</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7.943690476190474E-3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[1]ExtEntry!$H74</f>
        <v>1.5899000000000001</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-1.8665476190476227E-3</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[1]ExtEntry!$H75</f>
        <v>15.932</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-3.3662380952380949E-3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[1]ExtEntry!$H76</f>
        <v>471.4</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-8.0657029761904767E-3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[1]ExtEntry!$H77</f>
        <v>13.205</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-8.4698690476190473E-3</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[1]ExtEntry!$H78</f>
        <v>54.64</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-3.2292559523809522E-3</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[1]ExtEntry!$H79</f>
        <v>154.62</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-1.5427976190476183E-2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[1]ExtEntry!$H80</f>
        <v>785.35500000000002</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6.1361904761904687E-4</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[1]ExtEntry!$H81</f>
        <v>1.2450000000000001</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-1.7441130952381E-3</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[1]ExtEntry!$H82</f>
        <v>32.365000000000002</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4.5243273809523815E-3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[1]ExtEntry!$H83</f>
        <v>551.29999999999995</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-1.1203333333333315E-4</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[1]ExtEntry!$H84</f>
        <v>7.4089999999999998</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-2.8571726190476186E-3</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[1]ExtEntry!$H85</f>
        <v>126.45</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-1.4882547619047616E-3</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[1]ExtEntry!$H86</f>
        <v>14.164999999999999</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1.9276964285714288E-3</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[1]ExtEntry!$H87</f>
        <v>41.189300000000003</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-1.019898809523811E-3</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[1]ExtEntry!$H88</f>
        <v>24.375</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1.7978476190476198E-3</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[1]ExtEntry!$H89</f>
        <v>3.96</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-1.0296589285714286E-2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[1]ExtEntry!$H90</f>
        <v>37.43</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1.7726190476190476E-3</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[1]ExtEntry!$H91</f>
        <v>65.52</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-1.84639625E-2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[1]ExtEntry!$H92</f>
        <v>204.845</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-2.4834809523809525E-3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[1]ExtEntry!$H94</f>
        <v>10.173999999999999</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-3.7230797619047622E-3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[1]ExtEntry!$H95</f>
        <v>870.8</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-7.0868964285714297E-3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[1]ExtEntry!$H96</f>
        <v>16.105</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2.4683999999999999E-3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45940</v>
      </c>
      <c r="G303" s="117">
        <f t="shared" ca="1" si="24"/>
        <v>45943</v>
      </c>
      <c r="H303" s="117">
        <f t="shared" ca="1" si="24"/>
        <v>45944</v>
      </c>
      <c r="I303" s="117">
        <f t="shared" ca="1" si="24"/>
        <v>45945</v>
      </c>
      <c r="J303" s="117">
        <f t="shared" ca="1" si="24"/>
        <v>45946</v>
      </c>
      <c r="K303" s="117">
        <f t="shared" ca="1" si="24"/>
        <v>45947</v>
      </c>
      <c r="L303" s="117">
        <f t="shared" ca="1" si="24"/>
        <v>45950</v>
      </c>
      <c r="M303" s="117">
        <f t="shared" ca="1" si="24"/>
        <v>45951</v>
      </c>
      <c r="N303" s="117">
        <f t="shared" ca="1" si="24"/>
        <v>45952</v>
      </c>
      <c r="O303" s="117">
        <f t="shared" ca="1" si="24"/>
        <v>45953</v>
      </c>
      <c r="P303" s="117">
        <f t="shared" ca="1" si="24"/>
        <v>45954</v>
      </c>
      <c r="Q303" s="117">
        <f t="shared" ca="1" si="24"/>
        <v>45957</v>
      </c>
      <c r="R303" s="117">
        <f t="shared" ca="1" si="24"/>
        <v>45958</v>
      </c>
      <c r="S303" s="117">
        <f t="shared" ca="1" si="24"/>
        <v>45959</v>
      </c>
      <c r="T303" s="117">
        <f t="shared" ca="1" si="24"/>
        <v>45960</v>
      </c>
      <c r="U303" s="117">
        <f t="shared" ca="1" si="24"/>
        <v>45961</v>
      </c>
      <c r="V303" s="117">
        <f t="shared" ca="1" si="24"/>
        <v>45964</v>
      </c>
      <c r="W303" s="117">
        <f t="shared" ca="1" si="24"/>
        <v>45965</v>
      </c>
      <c r="X303" s="117">
        <f t="shared" ca="1" si="24"/>
        <v>45966</v>
      </c>
      <c r="Y303" s="117">
        <f t="shared" ca="1" si="24"/>
        <v>45967</v>
      </c>
      <c r="Z303" s="117">
        <f t="shared" ca="1" si="24"/>
        <v>45968</v>
      </c>
      <c r="AB303" s="117">
        <f t="shared" ref="AB303:AV303" ca="1" si="25">F303</f>
        <v>45940</v>
      </c>
      <c r="AC303" s="117">
        <f t="shared" ca="1" si="25"/>
        <v>45943</v>
      </c>
      <c r="AD303" s="117">
        <f t="shared" ca="1" si="25"/>
        <v>45944</v>
      </c>
      <c r="AE303" s="117">
        <f t="shared" ca="1" si="25"/>
        <v>45945</v>
      </c>
      <c r="AF303" s="117">
        <f t="shared" ca="1" si="25"/>
        <v>45946</v>
      </c>
      <c r="AG303" s="117">
        <f t="shared" ca="1" si="25"/>
        <v>45947</v>
      </c>
      <c r="AH303" s="117">
        <f t="shared" ca="1" si="25"/>
        <v>45950</v>
      </c>
      <c r="AI303" s="117">
        <f t="shared" ca="1" si="25"/>
        <v>45951</v>
      </c>
      <c r="AJ303" s="117">
        <f t="shared" ca="1" si="25"/>
        <v>45952</v>
      </c>
      <c r="AK303" s="117">
        <f t="shared" ca="1" si="25"/>
        <v>45953</v>
      </c>
      <c r="AL303" s="117">
        <f t="shared" ca="1" si="25"/>
        <v>45954</v>
      </c>
      <c r="AM303" s="117">
        <f t="shared" ca="1" si="25"/>
        <v>45957</v>
      </c>
      <c r="AN303" s="117">
        <f t="shared" ca="1" si="25"/>
        <v>45958</v>
      </c>
      <c r="AO303" s="117">
        <f t="shared" ca="1" si="25"/>
        <v>45959</v>
      </c>
      <c r="AP303" s="117">
        <f t="shared" ca="1" si="25"/>
        <v>45960</v>
      </c>
      <c r="AQ303" s="117">
        <f t="shared" ca="1" si="25"/>
        <v>45961</v>
      </c>
      <c r="AR303" s="117">
        <f t="shared" ca="1" si="25"/>
        <v>45964</v>
      </c>
      <c r="AS303" s="117">
        <f t="shared" ca="1" si="25"/>
        <v>45965</v>
      </c>
      <c r="AT303" s="117">
        <f t="shared" ca="1" si="25"/>
        <v>45966</v>
      </c>
      <c r="AU303" s="117">
        <f t="shared" ca="1" si="25"/>
        <v>45967</v>
      </c>
      <c r="AV303" s="117">
        <f t="shared" ca="1" si="25"/>
        <v>45968</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[1]ExtEntry!$I3</f>
        <v>266.77999999999997</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-16843.5</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[1]ExtEntry!$I4</f>
        <v>13.66</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1175</v>
      </c>
      <c r="AX306" s="88" t="str">
        <f t="shared" ca="1" si="27"/>
        <v>ADEA</v>
      </c>
    </row>
    <row r="307" spans="1:50" x14ac:dyDescent="0.3">
      <c r="A307" s="88" t="str">
        <f t="shared" ca="1" si="26"/>
        <v>AET</v>
      </c>
      <c r="F307" s="243">
        <v>45.1</v>
      </c>
      <c r="G307" s="243" t="e" vm="424">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[1]ExtEntry!$I5</f>
        <v>44.7</v>
      </c>
      <c r="AB307" s="261">
        <v>-4000</v>
      </c>
      <c r="AC307" s="261" t="e" vm="424">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0</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[1]ExtEntry!$I6</f>
        <v>238.49</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18720</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[1]ExtEntry!$I7</f>
        <v>0.76200000000000001</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0</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[1]ExtEntry!$I8</f>
        <v>870.8</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-87420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[1]ExtEntry!$I9</f>
        <v>337.27</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-2718</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[1]ExtEntry!$I10</f>
        <v>84.23</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22.5</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[1]ExtEntry!$I11</f>
        <v>3.21</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1500</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[1]ExtEntry!$I12</f>
        <v>2.36</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343.74999999999636</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[1]ExtEntry!$I13</f>
        <v>97.367099999999994</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11.550000000001091</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[1]ExtEntry!$I14</f>
        <v>70.540000000000006</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-465</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[1]ExtEntry!$I15</f>
        <v>78.290000000000006</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-0.14999999999999147</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[1]ExtEntry!$I16</f>
        <v>2.145</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424.9999999999709</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[1]ExtEntry!$I17</f>
        <v>110.04</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380</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[1]ExtEntry!$I18</f>
        <v>23.03</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[1]ExtEntry!$I19</f>
        <v>120.92</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3171</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[1]ExtEntry!$I20</f>
        <v>13.03</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-1950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[1]ExtEntry!$I21</f>
        <v>15.994999999999999</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0</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[1]ExtEntry!$I23</f>
        <v>68.58</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17.199999999999932</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[1]ExtEntry!$I24</f>
        <v>22.79</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1196</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[1]ExtEntry!$I25</f>
        <v>25.82</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925</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[1]ExtEntry!$I26</f>
        <v>366.2</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-23980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[1]ExtEntry!$I27</f>
        <v>63.47</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6600</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[1]ExtEntry!$I28</f>
        <v>10.6035</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[1]ExtEntry!$I29</f>
        <v>10.1501</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-3.9500000000000171</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[1]ExtEntry!$I30</f>
        <v>23.4</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7860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[1]ExtEntry!$I31</f>
        <v>493.25</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6174</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[1]ExtEntry!$I32</f>
        <v>81.635000000000005</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1.9299999999999926</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[1]ExtEntry!$I33</f>
        <v>81.489999999999995</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1400</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[1]ExtEntry!$I34</f>
        <v>1087.5</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18570</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[1]ExtEntry!$I35</f>
        <v>2.5</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10133.459999999992</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[1]ExtEntry!$I36</f>
        <v>33.619999999999997</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2519.6000000000058</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[1]ExtEntry!$I37</f>
        <v>5.68</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460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[1]ExtEntry!$I38</f>
        <v>4.97</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11695.500000000029</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[1]ExtEntry!$I39</f>
        <v>0.65069999999999995</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93.000000000000909</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[1]ExtEntry!$I40</f>
        <v>34.64</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-60</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[1]ExtEntry!$I41</f>
        <v>42.36</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-10</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[1]ExtEntry!$I42</f>
        <v>215.1</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-15200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[1]ExtEntry!$I43</f>
        <v>14.335000000000001</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8875</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[1]ExtEntry!$I44</f>
        <v>9.1766000000000005</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3200</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[1]ExtEntry!$I45</f>
        <v>421.88</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-7.57000000000005</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[1]ExtEntry!$I46</f>
        <v>277.13</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3352.5</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[1]ExtEntry!$I47</f>
        <v>28.4</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300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[1]ExtEntry!$I48</f>
        <v>6.1303999999999998</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2351.375</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[1]ExtEntry!$I49</f>
        <v>26.96</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1129.5</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[1]ExtEntry!$I50</f>
        <v>58.2</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-2000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[1]ExtEntry!$I51</f>
        <v>9.92</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25</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[1]ExtEntry!$I53</f>
        <v>114.9</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1110</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[1]ExtEntry!$I54</f>
        <v>6.5149999999999997</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-765</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[1]ExtEntry!$I55</f>
        <v>0.76200000000000001</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[1]ExtEntry!$I56</f>
        <v>2.145</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49.999999999996362</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[1]ExtEntry!$I57</f>
        <v>23.03</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[1]ExtEntry!$I58</f>
        <v>15.994999999999999</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0</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[1]ExtEntry!$I59</f>
        <v>15.784000000000001</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-2808</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[1]ExtEntry!$I61</f>
        <v>54.3</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-10080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[1]ExtEntry!$I62</f>
        <v>13.9</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4257</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[1]ExtEntry!$I63</f>
        <v>42.36</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-0.20000000000000284</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[1]ExtEntry!$I64</f>
        <v>215.1</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-1604</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[1]ExtEntry!$I65</f>
        <v>28.4</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56</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[1]ExtEntry!$I66</f>
        <v>266.77999999999997</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-620.54999999998836</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[1]ExtEntry!$I67</f>
        <v>238.49</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2340</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[1]ExtEntry!$I68</f>
        <v>870.8</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-7050</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[1]ExtEntry!$I69</f>
        <v>2.145</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549.9999999999709</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[1]ExtEntry!$I70</f>
        <v>110.04</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456</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[1]ExtEntry!$I71</f>
        <v>68.58</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[1]ExtEntry!$I72</f>
        <v>366.2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[1]ExtEntry!$I73</f>
        <v>23.4</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3275</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[1]ExtEntry!$I74</f>
        <v>1.3501000000000001</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26388</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[1]ExtEntry!$I75</f>
        <v>15.784000000000001</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-1326</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[1]ExtEntry!$I76</f>
        <v>463.7</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-2130</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[1]ExtEntry!$I77</f>
        <v>12.95</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[1]ExtEntry!$I78</f>
        <v>54.3</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[1]ExtEntry!$I79</f>
        <v>150.08000000000001</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2106</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[1]ExtEntry!$I80</f>
        <v>762.8</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[1]ExtEntry!$I81</f>
        <v>1.1299999999999999</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1319.0300000000025</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[1]ExtEntry!$I82</f>
        <v>30.844999999999999</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1446</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[1]ExtEntry!$I83</f>
        <v>550.66999999999996</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-490.00000000001455</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[1]ExtEntry!$I84</f>
        <v>7.2801</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-331.5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[1]ExtEntry!$I85</f>
        <v>126.0001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[1]ExtEntry!$I86</f>
        <v>13.9</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258</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[1]ExtEntry!$I87</f>
        <v>40.31</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3077.2000000000116</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[1]ExtEntry!$I88</f>
        <v>24.110900000000001</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56</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[1]ExtEntry!$I89</f>
        <v>3.7940999999999998</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3010</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[1]ExtEntry!$I90</f>
        <v>36.21</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[1]ExtEntry!$I91</f>
        <v>60.77</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2850</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[1]ExtEntry!$I92</f>
        <v>201.96</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502.5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[1]ExtEntry!$I94</f>
        <v>10.173999999999999</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-4009.2000000001863</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[1]ExtEntry!$I95</f>
        <v>870.8</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-5640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[1]ExtEntry!$I96</f>
        <v>15.994999999999999</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45940</v>
      </c>
      <c r="G402" s="117">
        <f t="shared" ca="1" si="32"/>
        <v>45943</v>
      </c>
      <c r="H402" s="117">
        <f t="shared" ca="1" si="32"/>
        <v>45944</v>
      </c>
      <c r="I402" s="117">
        <f t="shared" ca="1" si="32"/>
        <v>45945</v>
      </c>
      <c r="J402" s="117">
        <f t="shared" ca="1" si="32"/>
        <v>45946</v>
      </c>
      <c r="K402" s="117">
        <f t="shared" ca="1" si="32"/>
        <v>45947</v>
      </c>
      <c r="L402" s="117">
        <f t="shared" ca="1" si="32"/>
        <v>45950</v>
      </c>
      <c r="M402" s="117">
        <f t="shared" ca="1" si="32"/>
        <v>45951</v>
      </c>
      <c r="N402" s="117">
        <f t="shared" ca="1" si="32"/>
        <v>45952</v>
      </c>
      <c r="O402" s="117">
        <f t="shared" ca="1" si="32"/>
        <v>45953</v>
      </c>
      <c r="P402" s="117">
        <f t="shared" ca="1" si="32"/>
        <v>45954</v>
      </c>
      <c r="Q402" s="117">
        <f t="shared" ca="1" si="32"/>
        <v>45957</v>
      </c>
      <c r="R402" s="117">
        <f t="shared" ca="1" si="32"/>
        <v>45958</v>
      </c>
      <c r="S402" s="117">
        <f t="shared" ca="1" si="32"/>
        <v>45959</v>
      </c>
      <c r="T402" s="117">
        <f t="shared" ca="1" si="32"/>
        <v>45960</v>
      </c>
      <c r="U402" s="117">
        <f t="shared" ca="1" si="32"/>
        <v>45961</v>
      </c>
      <c r="V402" s="117">
        <f t="shared" ca="1" si="32"/>
        <v>45964</v>
      </c>
      <c r="W402" s="117">
        <f t="shared" ca="1" si="32"/>
        <v>45965</v>
      </c>
      <c r="X402" s="117">
        <f t="shared" ca="1" si="32"/>
        <v>45966</v>
      </c>
      <c r="Y402" s="117">
        <f t="shared" ca="1" si="32"/>
        <v>45967</v>
      </c>
      <c r="Z402" s="117">
        <f t="shared" ca="1" si="32"/>
        <v>45968</v>
      </c>
      <c r="AB402" s="117">
        <f t="shared" ref="AB402:AV402" ca="1" si="33">AB303</f>
        <v>45940</v>
      </c>
      <c r="AC402" s="117">
        <f t="shared" ca="1" si="33"/>
        <v>45943</v>
      </c>
      <c r="AD402" s="117">
        <f t="shared" ca="1" si="33"/>
        <v>45944</v>
      </c>
      <c r="AE402" s="117">
        <f t="shared" ca="1" si="33"/>
        <v>45945</v>
      </c>
      <c r="AF402" s="117">
        <f t="shared" ca="1" si="33"/>
        <v>45946</v>
      </c>
      <c r="AG402" s="117">
        <f t="shared" ca="1" si="33"/>
        <v>45947</v>
      </c>
      <c r="AH402" s="117">
        <f t="shared" ca="1" si="33"/>
        <v>45950</v>
      </c>
      <c r="AI402" s="117">
        <f t="shared" ca="1" si="33"/>
        <v>45951</v>
      </c>
      <c r="AJ402" s="117">
        <f t="shared" ca="1" si="33"/>
        <v>45952</v>
      </c>
      <c r="AK402" s="117">
        <f t="shared" ca="1" si="33"/>
        <v>45953</v>
      </c>
      <c r="AL402" s="117">
        <f t="shared" ca="1" si="33"/>
        <v>45954</v>
      </c>
      <c r="AM402" s="117">
        <f t="shared" ca="1" si="33"/>
        <v>45957</v>
      </c>
      <c r="AN402" s="117">
        <f t="shared" ca="1" si="33"/>
        <v>45958</v>
      </c>
      <c r="AO402" s="117">
        <f t="shared" ca="1" si="33"/>
        <v>45959</v>
      </c>
      <c r="AP402" s="117">
        <f t="shared" ca="1" si="33"/>
        <v>45960</v>
      </c>
      <c r="AQ402" s="117">
        <f t="shared" ca="1" si="33"/>
        <v>45961</v>
      </c>
      <c r="AR402" s="117">
        <f t="shared" ca="1" si="33"/>
        <v>45964</v>
      </c>
      <c r="AS402" s="117">
        <f t="shared" ca="1" si="33"/>
        <v>45965</v>
      </c>
      <c r="AT402" s="117">
        <f t="shared" ca="1" si="33"/>
        <v>45966</v>
      </c>
      <c r="AU402" s="117">
        <f t="shared" ca="1" si="33"/>
        <v>45967</v>
      </c>
      <c r="AV402" s="117">
        <f t="shared" ca="1" si="33"/>
        <v>45968</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[1]ExtEntry!$J3</f>
        <v>272.29000000000002</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-16993.5</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[1]ExtEntry!$J4</f>
        <v>14.095000000000001</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625</v>
      </c>
      <c r="AX406" s="88" t="str">
        <f t="shared" ref="AX406:AX469" ca="1" si="36">A6</f>
        <v>ADEA</v>
      </c>
      <c r="BR406" t="s">
        <v>2213</v>
      </c>
    </row>
    <row r="407" spans="1:70" x14ac:dyDescent="0.3">
      <c r="A407" s="88" t="str">
        <f t="shared" ca="1" si="34"/>
        <v>AET</v>
      </c>
      <c r="F407" s="243">
        <v>46.4</v>
      </c>
      <c r="G407" s="243" t="e" vm="424">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[1]ExtEntry!$J5</f>
        <v>44.7</v>
      </c>
      <c r="AB407" s="262">
        <v>11600</v>
      </c>
      <c r="AC407" s="262" t="e" vm="424">
        <v>#VALUE!</v>
      </c>
      <c r="AD407" s="262">
        <v>4020</v>
      </c>
      <c r="AE407" s="262">
        <v>5060</v>
      </c>
      <c r="AF407" s="262">
        <v>9000</v>
      </c>
      <c r="AG407" s="262">
        <v>-5840</v>
      </c>
      <c r="AH407" s="262" t="e" vm="424">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3280</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[1]ExtEntry!$J6</f>
        <v>244.9</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6300</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[1]ExtEntry!$J7</f>
        <v>0.78200000000000003</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-5060</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[1]ExtEntry!$J8</f>
        <v>900.9</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-99300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[1]ExtEntry!$J9</f>
        <v>354.5</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-6858</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[1]ExtEntry!$J10</f>
        <v>85.15</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737.5</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[1]ExtEntry!$J11</f>
        <v>3.5</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1400</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[1]ExtEntry!$J12</f>
        <v>2.5099</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718.74999999999636</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[1]ExtEntry!$J13</f>
        <v>100.54</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9.6000000000011028</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[1]ExtEntry!$J14</f>
        <v>71.584999999999994</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-1885</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[1]ExtEntry!$J15</f>
        <v>79.44</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1.4000000000000057</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[1]ExtEntry!$J16</f>
        <v>2.27</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4249.9999999999709</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[1]ExtEntry!$J17</f>
        <v>111.425</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625</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[1]ExtEntry!$J18</f>
        <v>23.48</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1360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[1]ExtEntry!$J19</f>
        <v>123.79</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3087</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[1]ExtEntry!$J20</f>
        <v>13.7</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-2250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[1]ExtEntry!$J21</f>
        <v>16.155000000000001</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-118.25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[1]ExtEntry!$J23</f>
        <v>70.734999999999999</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13.099999999999795</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[1]ExtEntry!$J24</f>
        <v>23.524999999999999</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1012</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[1]ExtEntry!$J25</f>
        <v>26.33</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-400</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[1]ExtEntry!$J26</f>
        <v>389.2</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-29490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[1]ExtEntry!$J27</f>
        <v>65.08</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6850</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[1]ExtEntry!$J28</f>
        <v>11.540800000000001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[1]ExtEntry!$J29</f>
        <v>10.98</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-10.799999999999997</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[1]ExtEntry!$J30</f>
        <v>24.524999999999999</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23700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[1]ExtEntry!$J31</f>
        <v>499.37700000000001</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83887.999999999069</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[1]ExtEntry!$J32</f>
        <v>83.765000000000001</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1589.93</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[1]ExtEntry!$J33</f>
        <v>83.5</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-45220</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[1]ExtEntry!$J34</f>
        <v>1108.22</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-6930</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[1]ExtEntry!$J35</f>
        <v>3.12</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14133.50999999998</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[1]ExtEntry!$J36</f>
        <v>34.765000000000001</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-2600.3999999999942</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[1]ExtEntry!$J37</f>
        <v>5.95</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-2380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[1]ExtEntry!$J38</f>
        <v>5.44</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33295.500000000029</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[1]ExtEntry!$J39</f>
        <v>0.69</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616.00000000000091</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[1]ExtEntry!$J40</f>
        <v>35.9099</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-780</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[1]ExtEntry!$J41</f>
        <v>43.33</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-43</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[1]ExtEntry!$J42</f>
        <v>220</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-15960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[1]ExtEntry!$J43</f>
        <v>14.86</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21175.16320000001</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[1]ExtEntry!$J44</f>
        <v>9.48</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7680</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[1]ExtEntry!$J45</f>
        <v>437.9425</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-13.345000000000084</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[1]ExtEntry!$J46</f>
        <v>287.88499999999999</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-12031.5</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[1]ExtEntry!$J47</f>
        <v>28.5</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300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[1]ExtEntry!$J48</f>
        <v>6.58</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3364.2749999999942</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[1]ExtEntry!$J49</f>
        <v>27.51</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1084.5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[1]ExtEntry!$J50</f>
        <v>58.8</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7587.4000000000233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[1]ExtEntry!$J51</f>
        <v>10.16</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475.00000000001455</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[1]ExtEntry!$J53</f>
        <v>117.505</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1335</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[1]ExtEntry!$J54</f>
        <v>6.82</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-2065</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[1]ExtEntry!$J55</f>
        <v>0.78200000000000003</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-1010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[1]ExtEntry!$J56</f>
        <v>2.27</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500</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[1]ExtEntry!$J57</f>
        <v>23.48</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4080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[1]ExtEntry!$J58</f>
        <v>16.155000000000001</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-2.1499999999999773</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[1]ExtEntry!$J59</f>
        <v>16.047999999999998</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-5904</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[1]ExtEntry!$J61</f>
        <v>56.12</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-15540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[1]ExtEntry!$J62</f>
        <v>14.27</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4455</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[1]ExtEntry!$J63</f>
        <v>43.33</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-0.86000000000000654</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[1]ExtEntry!$J64</f>
        <v>220</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-1684.1999999999825</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[1]ExtEntry!$J65</f>
        <v>28.5</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56</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[1]ExtEntry!$J66</f>
        <v>272.29000000000002</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-625.79999999998836</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[1]ExtEntry!$J67</f>
        <v>244.9</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787.5</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[1]ExtEntry!$J68</f>
        <v>900.9</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-7875</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[1]ExtEntry!$J69</f>
        <v>2.27</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5499.9999999999709</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[1]ExtEntry!$J70</f>
        <v>111.425</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750</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[1]ExtEntry!$J71</f>
        <v>70.734999999999999</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[1]ExtEntry!$J72</f>
        <v>389.2</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[1]ExtEntry!$J73</f>
        <v>24.524999999999999</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9875</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[1]ExtEntry!$J74</f>
        <v>1.6</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38388</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[1]ExtEntry!$J75</f>
        <v>16.047999999999998</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-3218</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[1]ExtEntry!$J76</f>
        <v>478.5</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-1380</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[1]ExtEntry!$J77</f>
        <v>13.24</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[1]ExtEntry!$J78</f>
        <v>56.12</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[1]ExtEntry!$J79</f>
        <v>156.13</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3204</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[1]ExtEntry!$J80</f>
        <v>785.55489999999998</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[1]ExtEntry!$J81</f>
        <v>1.27</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4965.7599999999984</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[1]ExtEntry!$J82</f>
        <v>32.380000000000003</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2718</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[1]ExtEntry!$J83</f>
        <v>558.66999999999996</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885.99999999998545</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[1]ExtEntry!$J84</f>
        <v>7.64</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1163.5</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[1]ExtEntry!$J85</f>
        <v>126.96</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[1]ExtEntry!$J86</f>
        <v>14.27</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270</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[1]ExtEntry!$J87</f>
        <v>41.244999999999997</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7677.2000000000116</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[1]ExtEntry!$J88</f>
        <v>24.63</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464</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[1]ExtEntry!$J89</f>
        <v>3.99</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4210</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[1]ExtEntry!$J90</f>
        <v>37.615000000000002</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[1]ExtEntry!$J91</f>
        <v>66.734999999999999</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2832</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[1]ExtEntry!$J92</f>
        <v>206.23</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8467.5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[1]ExtEntry!$J94</f>
        <v>10.226000000000001</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-4009.2000000001863</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[1]ExtEntry!$J95</f>
        <v>900.9</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-6300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[1]ExtEntry!$J96</f>
        <v>16.155000000000001</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-3870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45940</v>
      </c>
      <c r="G502" s="117">
        <f t="shared" ca="1" si="41"/>
        <v>45943</v>
      </c>
      <c r="H502" s="117">
        <f t="shared" ca="1" si="41"/>
        <v>45944</v>
      </c>
      <c r="I502" s="117">
        <f t="shared" ca="1" si="41"/>
        <v>45945</v>
      </c>
      <c r="J502" s="117">
        <f t="shared" ca="1" si="41"/>
        <v>45946</v>
      </c>
      <c r="K502" s="117">
        <f t="shared" ca="1" si="41"/>
        <v>45947</v>
      </c>
      <c r="L502" s="117">
        <f t="shared" ca="1" si="41"/>
        <v>45950</v>
      </c>
      <c r="M502" s="117">
        <f t="shared" ca="1" si="41"/>
        <v>45951</v>
      </c>
      <c r="N502" s="117">
        <f t="shared" ca="1" si="41"/>
        <v>45952</v>
      </c>
      <c r="O502" s="117">
        <f t="shared" ca="1" si="41"/>
        <v>45953</v>
      </c>
      <c r="P502" s="117">
        <f t="shared" ca="1" si="41"/>
        <v>45954</v>
      </c>
      <c r="Q502" s="117">
        <f t="shared" ca="1" si="41"/>
        <v>45957</v>
      </c>
      <c r="R502" s="117">
        <f t="shared" ca="1" si="41"/>
        <v>45958</v>
      </c>
      <c r="S502" s="117">
        <f t="shared" ca="1" si="41"/>
        <v>45959</v>
      </c>
      <c r="T502" s="117">
        <f t="shared" ca="1" si="41"/>
        <v>45960</v>
      </c>
      <c r="U502" s="117">
        <f t="shared" ca="1" si="41"/>
        <v>45961</v>
      </c>
      <c r="V502" s="117">
        <f t="shared" ca="1" si="41"/>
        <v>45964</v>
      </c>
      <c r="W502" s="117">
        <f t="shared" ca="1" si="41"/>
        <v>45965</v>
      </c>
      <c r="X502" s="117">
        <f t="shared" ca="1" si="41"/>
        <v>45966</v>
      </c>
      <c r="Y502" s="117">
        <f t="shared" ca="1" si="41"/>
        <v>45967</v>
      </c>
      <c r="Z502" s="117">
        <f t="shared" ca="1" si="41"/>
        <v>45968</v>
      </c>
      <c r="AB502" s="117">
        <f t="shared" ref="AB502:AV502" ca="1" si="42">F402</f>
        <v>45940</v>
      </c>
      <c r="AC502" s="117">
        <f t="shared" ca="1" si="42"/>
        <v>45943</v>
      </c>
      <c r="AD502" s="117">
        <f t="shared" ca="1" si="42"/>
        <v>45944</v>
      </c>
      <c r="AE502" s="117">
        <f t="shared" ca="1" si="42"/>
        <v>45945</v>
      </c>
      <c r="AF502" s="117">
        <f t="shared" ca="1" si="42"/>
        <v>45946</v>
      </c>
      <c r="AG502" s="117">
        <f t="shared" ca="1" si="42"/>
        <v>45947</v>
      </c>
      <c r="AH502" s="117">
        <f t="shared" ca="1" si="42"/>
        <v>45950</v>
      </c>
      <c r="AI502" s="117">
        <f t="shared" ca="1" si="42"/>
        <v>45951</v>
      </c>
      <c r="AJ502" s="117">
        <f t="shared" ca="1" si="42"/>
        <v>45952</v>
      </c>
      <c r="AK502" s="117">
        <f t="shared" ca="1" si="42"/>
        <v>45953</v>
      </c>
      <c r="AL502" s="117">
        <f t="shared" ca="1" si="42"/>
        <v>45954</v>
      </c>
      <c r="AM502" s="117">
        <f t="shared" ca="1" si="42"/>
        <v>45957</v>
      </c>
      <c r="AN502" s="117">
        <f t="shared" ca="1" si="42"/>
        <v>45958</v>
      </c>
      <c r="AO502" s="117">
        <f t="shared" ca="1" si="42"/>
        <v>45959</v>
      </c>
      <c r="AP502" s="117">
        <f t="shared" ca="1" si="42"/>
        <v>45960</v>
      </c>
      <c r="AQ502" s="117">
        <f t="shared" ca="1" si="42"/>
        <v>45961</v>
      </c>
      <c r="AR502" s="117">
        <f t="shared" ca="1" si="42"/>
        <v>45964</v>
      </c>
      <c r="AS502" s="117">
        <f t="shared" ca="1" si="42"/>
        <v>45965</v>
      </c>
      <c r="AT502" s="117">
        <f t="shared" ca="1" si="42"/>
        <v>45966</v>
      </c>
      <c r="AU502" s="117">
        <f t="shared" ca="1" si="42"/>
        <v>45967</v>
      </c>
      <c r="AV502" s="117">
        <f t="shared" ca="1" si="42"/>
        <v>45968</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[1]ExtEntry!$K3</f>
        <v>36.086100000000002</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2545971.5</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[1]ExtEntry!$K4</f>
        <v>21.640999999999998</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70225</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[1]ExtEntry!$K5</f>
        <v>3.8801999999999999</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366540</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[1]ExtEntry!$K6</f>
        <v>34.5473</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2934720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[1]ExtEntry!$K7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1973400</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[1]ExtEntry!$K8</f>
        <v>33.435600000000001</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2699480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[1]ExtEntry!$K9</f>
        <v>89.050200000000004</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138954</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[1]ExtEntry!$K9</f>
        <v>89.050200000000004</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42277.5</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[1]ExtEntry!$K10</f>
        <v>28.0914</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69700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[1]ExtEntry!$K11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31218.75</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[1]ExtEntry!$K12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10554.6</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[1]ExtEntry!$K13</f>
        <v>14.130699999999999</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70925</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[1]ExtEntry!$K14</f>
        <v>29.9831</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78.84</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[1]ExtEntry!$K15</f>
        <v>206.5496</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189125</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 ca="1">[1]ExtEntry!$K16</f>
        <v>0</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110730</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[1]ExtEntry!$K17</f>
        <v>17.360199999999999</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93360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[1]ExtEntry!$K18</f>
        <v>25.988800000000001</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172655</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[1]ExtEntry!$K19</f>
        <v>12.6974</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79050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[1]ExtEntry!$K20</f>
        <v>6.4330999999999996</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241575</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[1]ExtEntry!$K21</f>
        <v>13.309900000000001</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[1]ExtEntry!$K22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706.59999999999991</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[1]ExtEntry!$K23</f>
        <v>13.5906</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215280</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[1]ExtEntry!$K24</f>
        <v>28.067699999999999</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131075</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[1]ExtEntry!$K25</f>
        <v>9.5496999999999996</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402820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[1]ExtEntry!$K26</f>
        <v>6.6745000000000001</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389430</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[1]ExtEntry!$K27</f>
        <v>16.443300000000001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[1]ExtEntry!$K28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104.85</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 ca="1">[1]ExtEntry!$K29</f>
        <v>0</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294300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[1]ExtEntry!$K30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4876774</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[1]ExtEntry!$K31</f>
        <v>35.404899999999998</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83.71</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[1]ExtEntry!$K32</f>
        <v>26.586400000000001</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1667000</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[1]ExtEntry!$K33</f>
        <v>12.9526</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3297750</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[1]ExtEntry!$K34</f>
        <v>45.921100000000003</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81334.349999999991</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[1]ExtEntry!$K35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138879.6</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[1]ExtEntry!$K36</f>
        <v>24.106000000000002</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23700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[1]ExtEntry!$K37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241645.50000000003</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[1]ExtEntry!$K38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6600</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[1]ExtEntry!$K39</f>
        <v>99</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35310</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[1]ExtEntry!$K40</f>
        <v>5.7251000000000003</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2145.5</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[1]ExtEntry!$K41</f>
        <v>12.2951</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819470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[1]ExtEntry!$K42</f>
        <v>35.522500000000001</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367250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[1]ExtEntry!$K43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151360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[1]ExtEntry!$K44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430.03</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[1]ExtEntry!$K45</f>
        <v>298.15570000000002</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1286325</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[1]ExtEntry!$K46</f>
        <v>28.443899999999999</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85500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[1]ExtEntry!$K48</f>
        <v>1.3058000000000001</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47497.775000000001</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[1]ExtEntry!$K49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82249.5</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[1]ExtEntry!$K50</f>
        <v>13.160299999999999</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1166000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[1]ExtEntry!$K51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50375</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[1]ExtEntry!$K53</f>
        <v>17.064</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58695</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[1]ExtEntry!$K54</f>
        <v>99</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65985</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[1]ExtEntry!$K55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393900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 ca="1">[1]ExtEntry!$K56</f>
        <v>0</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22250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[1]ExtEntry!$K57</f>
        <v>25.988800000000001</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280080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[1]ExtEntry!$K58</f>
        <v>13.309900000000001</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161.05000000000001</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[1]ExtEntry!$K59</f>
        <v>17.5947</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573552</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[1]ExtEntry!$K61</f>
        <v>8.7498000000000005</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382480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[1]ExtEntry!$K62</f>
        <v>44.741</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280467</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[1]ExtEntry!$K63</f>
        <v>12.2951</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42.91</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[1]ExtEntry!$K64</f>
        <v>35.522500000000001</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86475.650000000009</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[1]ExtEntry!$K65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15960</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[1]ExtEntry!$K66</f>
        <v>36.086100000000002</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93798.950000000012</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[1]ExtEntry!$K67</f>
        <v>34.5473</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366840</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[1]ExtEntry!$K68</f>
        <v>33.435600000000001</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217700</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 ca="1">[1]ExtEntry!$K69</f>
        <v>0</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244750</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[1]ExtEntry!$K70</f>
        <v>17.360199999999999</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132876</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[1]ExtEntry!$K71</f>
        <v>13.5906</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[1]ExtEntry!$K72</f>
        <v>6.6745000000000001</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[1]ExtEntry!$K73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122625</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[1]ExtEntry!$K74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190788</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[1]ExtEntry!$K75</f>
        <v>17.5947</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270844</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[1]ExtEntry!$K76</f>
        <v>8.5350000000000001</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141420</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[1]ExtEntry!$K77</f>
        <v>11.339600000000001</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[1]ExtEntry!$K78</f>
        <v>8.7498000000000005</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[1]ExtEntry!$K79</f>
        <v>29.421199999999999</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139158</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[1]ExtEntry!$K80</f>
        <v>15.9537</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[1]ExtEntry!$K81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19319.91</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[1]ExtEntry!$K82</f>
        <v>48.370899999999999</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38838</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[1]ExtEntry!$K83</f>
        <v>35.249600000000001</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110259.99999999999</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[1]ExtEntry!$K84</f>
        <v>3.2393000000000001</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48158.5</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[1]ExtEntry!$K85</f>
        <v>17.293500000000002</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[1]ExtEntry!$K86</f>
        <v>44.741</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16998</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[1]ExtEntry!$K87</f>
        <v>24.261800000000001</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164757.20000000001</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[1]ExtEntry!$K88</f>
        <v>14.2079</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39000</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 ca="1">[1]ExtEntry!$K89</f>
        <v>0</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170280</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[1]ExtEntry!$K90</f>
        <v>15.718299999999999</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[1]ExtEntry!$K91</f>
        <v>38.691400000000002</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39312</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[1]ExtEntry!$K92</f>
        <v>13.6149</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307267.5</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[1]ExtEntry!$K94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784415.39999999991</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[1]ExtEntry!$K95</f>
        <v>33.435600000000001</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174160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[1]ExtEntry!$K96</f>
        <v>13.309900000000001</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289890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45940</v>
      </c>
      <c r="G603" s="117">
        <f t="shared" ca="1" si="48"/>
        <v>45943</v>
      </c>
      <c r="H603" s="117">
        <f t="shared" ca="1" si="48"/>
        <v>45944</v>
      </c>
      <c r="I603" s="117">
        <f t="shared" ca="1" si="48"/>
        <v>45945</v>
      </c>
      <c r="J603" s="117">
        <f t="shared" ca="1" si="48"/>
        <v>45946</v>
      </c>
      <c r="K603" s="117">
        <f t="shared" ca="1" si="48"/>
        <v>45947</v>
      </c>
      <c r="L603" s="117">
        <f t="shared" ca="1" si="48"/>
        <v>45950</v>
      </c>
      <c r="M603" s="117">
        <f t="shared" ca="1" si="48"/>
        <v>45951</v>
      </c>
      <c r="N603" s="117">
        <f t="shared" ca="1" si="48"/>
        <v>45952</v>
      </c>
      <c r="O603" s="117">
        <f t="shared" ca="1" si="48"/>
        <v>45953</v>
      </c>
      <c r="P603" s="117">
        <f t="shared" ca="1" si="48"/>
        <v>45954</v>
      </c>
      <c r="Q603" s="117">
        <f t="shared" ca="1" si="48"/>
        <v>45957</v>
      </c>
      <c r="R603" s="117">
        <f t="shared" ca="1" si="48"/>
        <v>45958</v>
      </c>
      <c r="S603" s="117">
        <f t="shared" ca="1" si="48"/>
        <v>45959</v>
      </c>
      <c r="T603" s="117">
        <f t="shared" ca="1" si="48"/>
        <v>45960</v>
      </c>
      <c r="U603" s="117">
        <f t="shared" ca="1" si="48"/>
        <v>45961</v>
      </c>
      <c r="V603" s="117">
        <f t="shared" ca="1" si="48"/>
        <v>45964</v>
      </c>
      <c r="W603" s="117">
        <f t="shared" ca="1" si="48"/>
        <v>45965</v>
      </c>
      <c r="X603" s="117">
        <f t="shared" ca="1" si="48"/>
        <v>45966</v>
      </c>
      <c r="Y603" s="117">
        <f t="shared" ca="1" si="48"/>
        <v>45967</v>
      </c>
      <c r="Z603" s="117">
        <f t="shared" ca="1" si="48"/>
        <v>45968</v>
      </c>
      <c r="AB603" s="117">
        <f t="shared" ref="AB603:AV603" ca="1" si="49">F502</f>
        <v>45940</v>
      </c>
      <c r="AC603" s="117">
        <f t="shared" ca="1" si="49"/>
        <v>45943</v>
      </c>
      <c r="AD603" s="117">
        <f t="shared" ca="1" si="49"/>
        <v>45944</v>
      </c>
      <c r="AE603" s="117">
        <f t="shared" ca="1" si="49"/>
        <v>45945</v>
      </c>
      <c r="AF603" s="117">
        <f t="shared" ca="1" si="49"/>
        <v>45946</v>
      </c>
      <c r="AG603" s="117">
        <f t="shared" ca="1" si="49"/>
        <v>45947</v>
      </c>
      <c r="AH603" s="117">
        <f t="shared" ca="1" si="49"/>
        <v>45950</v>
      </c>
      <c r="AI603" s="117">
        <f t="shared" ca="1" si="49"/>
        <v>45951</v>
      </c>
      <c r="AJ603" s="117">
        <f t="shared" ca="1" si="49"/>
        <v>45952</v>
      </c>
      <c r="AK603" s="117">
        <f t="shared" ca="1" si="49"/>
        <v>45953</v>
      </c>
      <c r="AL603" s="117">
        <f t="shared" ca="1" si="49"/>
        <v>45954</v>
      </c>
      <c r="AM603" s="117">
        <f t="shared" ca="1" si="49"/>
        <v>45957</v>
      </c>
      <c r="AN603" s="117">
        <f t="shared" ca="1" si="49"/>
        <v>45958</v>
      </c>
      <c r="AO603" s="117">
        <f t="shared" ca="1" si="49"/>
        <v>45959</v>
      </c>
      <c r="AP603" s="117">
        <f t="shared" ca="1" si="49"/>
        <v>45960</v>
      </c>
      <c r="AQ603" s="117">
        <f t="shared" ca="1" si="49"/>
        <v>45961</v>
      </c>
      <c r="AR603" s="117">
        <f t="shared" ca="1" si="49"/>
        <v>45964</v>
      </c>
      <c r="AS603" s="117">
        <f t="shared" ca="1" si="49"/>
        <v>45965</v>
      </c>
      <c r="AT603" s="117">
        <f t="shared" ca="1" si="49"/>
        <v>45966</v>
      </c>
      <c r="AU603" s="117">
        <f t="shared" ca="1" si="49"/>
        <v>45967</v>
      </c>
      <c r="AV603" s="117">
        <f t="shared" ca="1" si="49"/>
        <v>45968</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[1]ExtEntry!$L3</f>
        <v>-1.7729999999999999</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1.0314703895939132</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[1]ExtEntry!$L4</f>
        <v>4.4999999999999998E-2</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1.4714610181559273</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[1]ExtEntry!$L5</f>
        <v>0.3</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2.1624161073825503</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[1]ExtEntry!$L6</f>
        <v>1.52</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1.1793592574419365</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[1]ExtEntry!$L7</f>
        <v>-2E-3</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1.9658076923076924</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[1]ExtEntry!$L8</f>
        <v>-24.5</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1.08165280202113</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[1]ExtEntry!$L9</f>
        <v>-8.2050000000000001</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1.1295296285101544</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[1]ExtEntry!$L10</f>
        <v>0.78500000000000003</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1.1028647625805688</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[1]ExtEntry!$L11</f>
        <v>-6.5000000000000002E-2</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0.78909612625538028</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[1]ExtEntry!$L12</f>
        <v>-5.2499999999999998E-2</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[1]ExtEntry!$L13</f>
        <v>-0.33</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1.131733983286908</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[1]ExtEntry!$L14</f>
        <v>-0.115</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1.0756566795911173</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[1]ExtEntry!$L15</f>
        <v>0.18</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1.147640791476408</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[1]ExtEntry!$L16</f>
        <v>-2.5000000000000001E-2</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1.4606741573033708</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[1]ExtEntry!$L17</f>
        <v>0.24</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1.2108046599837441</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[1]ExtEntry!$L18</f>
        <v>0.08</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1.3658003427592118</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[1]ExtEntry!$L19</f>
        <v>1.7949999999999999</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1.1929860125684169</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[1]ExtEntry!$L20</f>
        <v>-0.46500000000000002</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1.1005692599620494</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[1]ExtEntry!$L21</f>
        <v>2.5000000000000001E-2</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1.0505799441167338</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[1]ExtEntry!$L23</f>
        <v>1.82</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1.0352936597792246</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[1]ExtEntry!$L24</f>
        <v>0</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1.1329961538461539</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[1]ExtEntry!$L25</f>
        <v>4.4999999999999998E-2</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1.0788670608430289</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[1]ExtEntry!$L26</f>
        <v>-47.9</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1.2673244128891317</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[1]ExtEntry!$L27</f>
        <v>1.4750000000000001</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1.1716424004313997</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[1]ExtEntry!$L28</f>
        <v>-0.81</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1.4111006585136405</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[1]ExtEntry!$L29</f>
        <v>-0.45500000000000002</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0.56824034334763951</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[1]ExtEntry!$L30</f>
        <v>0.19500000000000001</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1.6432212028542303</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[1]ExtEntry!$L31</f>
        <v>0.53</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1.2584180214215379</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[1]ExtEntry!$L32</f>
        <v>1.71</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1.0870863696093658</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[1]ExtEntry!$L33</f>
        <v>0.82</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1.2325734853029395</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[1]ExtEntry!$L34</f>
        <v>2.23</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1.2256748692290198</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[1]ExtEntry!$L35</f>
        <v>0.05</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10.328222950819674</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[1]ExtEntry!$L36</f>
        <v>0.88990000000000002</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1.3500902940388653</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[1]ExtEntry!$L37</f>
        <v>7.4999999999999997E-2</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2.0421940928270041</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[1]ExtEntry!$L38</f>
        <v>4.99E-2</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1.2352799865919291</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[1]ExtEntry!$L39</f>
        <v>-2.1899999999999999E-2</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[1]ExtEntry!$L40</f>
        <v>-0.81</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1.08562248654772</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[1]ExtEntry!$L41</f>
        <v>-0.18</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1.0428119319505942</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[1]ExtEntry!$L42</f>
        <v>-2.2999999999999998</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1.3385893809413403</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[1]ExtEntry!$L43</f>
        <v>0.23</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[1]ExtEntry!$L44</f>
        <v>0</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1.4094429175475687</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[1]ExtEntry!$L45</f>
        <v>-15.88</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0.90997848987279972</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[1]ExtEntry!$L46</f>
        <v>-3.39</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1.1733317474199754</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[1]ExtEntry!$L47</f>
        <v>0.55000000000000004</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[1]ExtEntry!$L48</f>
        <v>0.30499999999999999</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1.1305742574257425</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[1]ExtEntry!$L49</f>
        <v>0.14649999999999999</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1.2401291193259534</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[1]ExtEntry!$L50</f>
        <v>0.1</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1.0548885077186965</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[1]ExtEntry!$L51</f>
        <v>-3.5000000000000003E-2</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1.1910669975186106</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[1]ExtEntry!$L53</f>
        <v>2.89</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1.0808416389811739</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[1]ExtEntry!$L54</f>
        <v>-0.27150000000000002</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1.7276653784951126</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[1]ExtEntry!$L55</f>
        <v>-2E-3</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1.9658076923076924</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[1]ExtEntry!$L56</f>
        <v>-2.5000000000000001E-2</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1.4606741573033708</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[1]ExtEntry!$L57</f>
        <v>0.08</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1.3658003427592118</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[1]ExtEntry!$L58</f>
        <v>2.5000000000000001E-2</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1.0505799441167338</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[1]ExtEntry!$L59</f>
        <v>-1.6E-2</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1.0119715038915391</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[1]ExtEntry!$L61</f>
        <v>-1.1599999999999999</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1.1838599926793558</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[1]ExtEntry!$L62</f>
        <v>0.22500000000000001</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1.0816957289092834</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[1]ExtEntry!$L63</f>
        <v>-0.18</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1.0428119319505942</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[1]ExtEntry!$L64</f>
        <v>-2.2999999999999998</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1.3385893809413403</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[1]ExtEntry!$L65</f>
        <v>0.55000000000000004</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[1]ExtEntry!$L66</f>
        <v>-1.7729999999999999</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1.0314703895939132</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[1]ExtEntry!$L67</f>
        <v>1.52</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1.1793592574419365</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[1]ExtEntry!$L68</f>
        <v>-24.5</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1.08165280202113</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[1]ExtEntry!$L69</f>
        <v>-2.5000000000000001E-2</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1.4606741573033708</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[1]ExtEntry!$L70</f>
        <v>0.24</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1.2108046599837441</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[1]ExtEntry!$L71</f>
        <v>1.82</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1.0352936597792246</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[1]ExtEntry!$L72</f>
        <v>-47.9</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1.2673244128891317</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[1]ExtEntry!$L73</f>
        <v>0.19500000000000001</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1.6432212028542303</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[1]ExtEntry!$L74</f>
        <v>7.9899999999999999E-2</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1.5095289011887538</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[1]ExtEntry!$L75</f>
        <v>-1.6E-2</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1.0119715038915391</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[1]ExtEntry!$L76</f>
        <v>-7.1</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1.3284896054306323</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[1]ExtEntry!$L77</f>
        <v>0.23499999999999999</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0.92881484286255211</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[1]ExtEntry!$L78</f>
        <v>-1.1599999999999999</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1.1838599926793558</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[1]ExtEntry!$L79</f>
        <v>0.83</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1.341809597723451</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[1]ExtEntry!$L80</f>
        <v>-2.2250000000000001</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1.0209931814275073</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[1]ExtEntry!$L81</f>
        <v>9.5000000000000001E-2</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2.0080321285140559</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[1]ExtEntry!$L82</f>
        <v>0.85499999999999998</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1.0527940676656882</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[1]ExtEntry!$L83</f>
        <v>-1.98</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1.1884739706149103</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[1]ExtEntry!$L84</f>
        <v>-0.18099999999999999</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1.7023215008773116</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[1]ExtEntry!$L85</f>
        <v>-0.12</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1.0079398971925662</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[1]ExtEntry!$L86</f>
        <v>0.22500000000000001</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1.0816957289092834</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[1]ExtEntry!$L87</f>
        <v>0.88929999999999998</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1.2117962674772331</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[1]ExtEntry!$L88</f>
        <v>-4.4999999999999998E-2</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1.1795651282051283</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[1]ExtEntry!$L89</f>
        <v>0.06</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0.99844696969696978</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[1]ExtEntry!$L90</f>
        <v>0.7</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1.1064766230296552</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[1]ExtEntry!$L91</f>
        <v>-5.41</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1.3508128815628817</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[1]ExtEntry!$L92</f>
        <v>0.65500000000000003</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1.1209404671825038</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[1]ExtEntry!$L94</f>
        <v>-2.5999999999999999E-2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[1]ExtEntry!$L95</f>
        <v>-24.5</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1.08165280202113</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[1]ExtEntry!$L96</f>
        <v>2.5000000000000001E-2</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1.0505799441167338</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-2.3480000000000003E-3</v>
      </c>
      <c r="G701" s="1275">
        <f t="shared" ca="1" si="54"/>
        <v>-8.8260000000000005E-3</v>
      </c>
      <c r="H701" s="1275">
        <f t="shared" ca="1" si="54"/>
        <v>3.6982000000000001E-2</v>
      </c>
      <c r="I701" s="1275">
        <f t="shared" ca="1" si="54"/>
        <v>3.081E-3</v>
      </c>
      <c r="J701" s="1275">
        <f t="shared" ca="1" si="54"/>
        <v>3.1184E-2</v>
      </c>
      <c r="K701" s="1275">
        <f t="shared" ca="1" si="54"/>
        <v>5.0400000000000002E-3</v>
      </c>
      <c r="L701" s="1275">
        <f t="shared" ca="1" si="54"/>
        <v>-1.9380000000000001E-3</v>
      </c>
      <c r="M701" s="1275">
        <f t="shared" ca="1" si="54"/>
        <v>2.6606999999999999E-2</v>
      </c>
      <c r="N701" s="1275">
        <f t="shared" ca="1" si="54"/>
        <v>-1.0234E-2</v>
      </c>
      <c r="O701" s="1275">
        <f t="shared" ca="1" si="54"/>
        <v>-2.214E-2</v>
      </c>
      <c r="P701" s="1275">
        <f t="shared" ca="1" si="54"/>
        <v>-2.214E-2</v>
      </c>
      <c r="Q701" s="1275">
        <f t="shared" ca="1" si="54"/>
        <v>2.0228000000000003E-2</v>
      </c>
      <c r="R701" s="1275">
        <f t="shared" ca="1" si="54"/>
        <v>7.548E-3</v>
      </c>
      <c r="S701" s="1275">
        <f t="shared" ca="1" si="54"/>
        <v>1.5318E-2</v>
      </c>
      <c r="T701" s="1275">
        <f t="shared" ca="1" si="54"/>
        <v>9.9279999999999985E-4</v>
      </c>
      <c r="U701" s="1275">
        <f t="shared" ca="1" si="54"/>
        <v>1.9687E-2</v>
      </c>
      <c r="V701" s="1275">
        <f t="shared" ca="1" si="54"/>
        <v>-9.1739999999999999E-3</v>
      </c>
      <c r="W701" s="1275">
        <f t="shared" ca="1" si="54"/>
        <v>-1.2418E-2</v>
      </c>
      <c r="X701" s="1275">
        <f t="shared" ca="1" si="54"/>
        <v>-1.2463999999999999E-2</v>
      </c>
      <c r="Y701" s="1275">
        <f t="shared" ca="1" si="54"/>
        <v>-2.7365E-2</v>
      </c>
      <c r="Z701" s="1275">
        <f t="shared" ca="1" si="54"/>
        <v>-2.7365E-2</v>
      </c>
      <c r="AX701" s="88"/>
    </row>
    <row r="702" spans="1:50" x14ac:dyDescent="0.3">
      <c r="A702" s="88"/>
      <c r="C702" s="677"/>
      <c r="D702" s="677"/>
      <c r="F702" s="117">
        <f t="shared" ref="F702:Z702" ca="1" si="55">F603</f>
        <v>45940</v>
      </c>
      <c r="G702" s="117">
        <f t="shared" ca="1" si="55"/>
        <v>45943</v>
      </c>
      <c r="H702" s="117">
        <f t="shared" ca="1" si="55"/>
        <v>45944</v>
      </c>
      <c r="I702" s="117">
        <f t="shared" ca="1" si="55"/>
        <v>45945</v>
      </c>
      <c r="J702" s="117">
        <f t="shared" ca="1" si="55"/>
        <v>45946</v>
      </c>
      <c r="K702" s="117">
        <f t="shared" ca="1" si="55"/>
        <v>45947</v>
      </c>
      <c r="L702" s="117">
        <f t="shared" ca="1" si="55"/>
        <v>45950</v>
      </c>
      <c r="M702" s="117">
        <f t="shared" ca="1" si="55"/>
        <v>45951</v>
      </c>
      <c r="N702" s="117">
        <f t="shared" ca="1" si="55"/>
        <v>45952</v>
      </c>
      <c r="O702" s="117">
        <f t="shared" ca="1" si="55"/>
        <v>45953</v>
      </c>
      <c r="P702" s="117">
        <f t="shared" ca="1" si="55"/>
        <v>45954</v>
      </c>
      <c r="Q702" s="117">
        <f t="shared" ca="1" si="55"/>
        <v>45957</v>
      </c>
      <c r="R702" s="117">
        <f t="shared" ca="1" si="55"/>
        <v>45958</v>
      </c>
      <c r="S702" s="117">
        <f t="shared" ca="1" si="55"/>
        <v>45959</v>
      </c>
      <c r="T702" s="117">
        <f t="shared" ca="1" si="55"/>
        <v>45960</v>
      </c>
      <c r="U702" s="117">
        <f t="shared" ca="1" si="55"/>
        <v>45961</v>
      </c>
      <c r="V702" s="117">
        <f t="shared" ca="1" si="55"/>
        <v>45964</v>
      </c>
      <c r="W702" s="117">
        <f t="shared" ca="1" si="55"/>
        <v>45965</v>
      </c>
      <c r="X702" s="117">
        <f t="shared" ca="1" si="55"/>
        <v>45966</v>
      </c>
      <c r="Y702" s="117">
        <f t="shared" ca="1" si="55"/>
        <v>45967</v>
      </c>
      <c r="Z702" s="117">
        <f t="shared" ca="1" si="55"/>
        <v>45968</v>
      </c>
      <c r="AB702" s="117">
        <f t="shared" ref="AB702:AV702" ca="1" si="56">F603</f>
        <v>45940</v>
      </c>
      <c r="AC702" s="117">
        <f t="shared" ca="1" si="56"/>
        <v>45943</v>
      </c>
      <c r="AD702" s="117">
        <f t="shared" ca="1" si="56"/>
        <v>45944</v>
      </c>
      <c r="AE702" s="117">
        <f t="shared" ca="1" si="56"/>
        <v>45945</v>
      </c>
      <c r="AF702" s="117">
        <f t="shared" ca="1" si="56"/>
        <v>45946</v>
      </c>
      <c r="AG702" s="117">
        <f t="shared" ca="1" si="56"/>
        <v>45947</v>
      </c>
      <c r="AH702" s="117">
        <f t="shared" ca="1" si="56"/>
        <v>45950</v>
      </c>
      <c r="AI702" s="117">
        <f t="shared" ca="1" si="56"/>
        <v>45951</v>
      </c>
      <c r="AJ702" s="117">
        <f t="shared" ca="1" si="56"/>
        <v>45952</v>
      </c>
      <c r="AK702" s="117">
        <f t="shared" ca="1" si="56"/>
        <v>45953</v>
      </c>
      <c r="AL702" s="117">
        <f t="shared" ca="1" si="56"/>
        <v>45954</v>
      </c>
      <c r="AM702" s="117">
        <f t="shared" ca="1" si="56"/>
        <v>45957</v>
      </c>
      <c r="AN702" s="117">
        <f t="shared" ca="1" si="56"/>
        <v>45958</v>
      </c>
      <c r="AO702" s="117">
        <f t="shared" ca="1" si="56"/>
        <v>45959</v>
      </c>
      <c r="AP702" s="117">
        <f t="shared" ca="1" si="56"/>
        <v>45960</v>
      </c>
      <c r="AQ702" s="117">
        <f t="shared" ca="1" si="56"/>
        <v>45961</v>
      </c>
      <c r="AR702" s="117">
        <f t="shared" ca="1" si="56"/>
        <v>45964</v>
      </c>
      <c r="AS702" s="117">
        <f t="shared" ca="1" si="56"/>
        <v>45965</v>
      </c>
      <c r="AT702" s="117">
        <f t="shared" ca="1" si="56"/>
        <v>45966</v>
      </c>
      <c r="AU702" s="117">
        <f t="shared" ca="1" si="56"/>
        <v>45967</v>
      </c>
      <c r="AV702" s="117">
        <f t="shared" ca="1" si="56"/>
        <v>45968</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[1]ExtEntry!$M3</f>
        <v>-6.5719999999999997E-3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[1]ExtEntry!$M4</f>
        <v>3.2140000000000003E-3</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[1]ExtEntry!$M5</f>
        <v>6.757E-3</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[1]ExtEntry!$M6</f>
        <v>6.2539999999999991E-3</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[1]ExtEntry!$M7</f>
        <v>-2.5580000000000004E-3</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[1]ExtEntry!$M8</f>
        <v>-2.7365E-2</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[1]ExtEntry!$M9</f>
        <v>-2.3073999999999997E-2</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[1]ExtEntry!$M10</f>
        <v>9.3710000000000009E-3</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[1]ExtEntry!$M11</f>
        <v>-1.831E-2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[1]ExtEntry!$M12</f>
        <v>-2.0588000000000002E-2</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[1]ExtEntry!$M13</f>
        <v>-3.2719999999999997E-3</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[1]ExtEntry!$M14</f>
        <v>-1.6189999999999998E-3</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[1]ExtEntry!$M15</f>
        <v>2.2880000000000001E-3</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[1]ExtEntry!$M16</f>
        <v>-1.1110999999999999E-2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[1]ExtEntry!$M17</f>
        <v>2.1719999999999999E-3</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[1]ExtEntry!$M18</f>
        <v>3.4389999999999998E-3</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[1]ExtEntry!$M19</f>
        <v>1.477E-2</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[1]ExtEntry!$M20</f>
        <v>-3.4091000000000003E-2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[1]ExtEntry!$M21</f>
        <v>1.555E-3</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[1]ExtEntry!$M23</f>
        <v>2.6438000000000003E-2</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[1]ExtEntry!$M24</f>
        <v>0</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[1]ExtEntry!$M25</f>
        <v>1.72E-3</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[1]ExtEntry!$M26</f>
        <v>-0.115673</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[1]ExtEntry!$M27</f>
        <v>2.3254E-2</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[1]ExtEntry!$M28</f>
        <v>-7.0804000000000006E-2</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[1]ExtEntry!$M29</f>
        <v>-4.1589999999999995E-2</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[1]ExtEntry!$M30</f>
        <v>8.0149999999999996E-3</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[1]ExtEntry!$M31</f>
        <v>1.0660000000000001E-3</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[1]ExtEntry!$M32</f>
        <v>2.0853999999999998E-2</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[1]ExtEntry!$M33</f>
        <v>9.9360000000000004E-3</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[1]ExtEntry!$M34</f>
        <v>2.0330000000000001E-3</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[1]ExtEntry!$M35</f>
        <v>1.6667000000000001E-2</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[1]ExtEntry!$M36</f>
        <v>2.6305000000000002E-2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[1]ExtEntry!$M37</f>
        <v>1.2821000000000001E-2</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[1]ExtEntry!$M38</f>
        <v>9.3799999999999994E-3</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[1]ExtEntry!$M39</f>
        <v>-3.2115999999999999E-2</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[1]ExtEntry!$M40</f>
        <v>-2.2425E-2</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[1]ExtEntry!$M41</f>
        <v>-4.1770000000000002E-3</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[1]ExtEntry!$M42</f>
        <v>-1.0553E-2</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[1]ExtEntry!$M43</f>
        <v>1.5906E-2</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[1]ExtEntry!$M44</f>
        <v>0</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[1]ExtEntry!$M45</f>
        <v>-3.5612999999999999E-2</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[1]ExtEntry!$M46</f>
        <v>-1.172E-2</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[1]ExtEntry!$M47</f>
        <v>1.9678000000000001E-2</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[1]ExtEntry!$M48</f>
        <v>4.8722000000000001E-2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[1]ExtEntry!$M49</f>
        <v>5.372E-3</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[1]ExtEntry!$M50</f>
        <v>1.7180000000000001E-3</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[1]ExtEntry!$M51</f>
        <v>-3.4620000000000002E-3</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[1]ExtEntry!$M53</f>
        <v>2.5239999999999999E-2</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[1]ExtEntry!$M54</f>
        <v>-3.952E-2</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[1]ExtEntry!$M55</f>
        <v>-2.5580000000000004E-3</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[1]ExtEntry!$M56</f>
        <v>-1.1110999999999999E-2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[1]ExtEntry!$M57</f>
        <v>3.4389999999999998E-3</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[1]ExtEntry!$M58</f>
        <v>1.555E-3</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[1]ExtEntry!$M59</f>
        <v>-1.003E-3</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[1]ExtEntry!$M61</f>
        <v>-2.0788999999999998E-2</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[1]ExtEntry!$M62</f>
        <v>1.6141000000000003E-2</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[1]ExtEntry!$M63</f>
        <v>-4.1770000000000002E-3</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[1]ExtEntry!$M64</f>
        <v>-1.0553E-2</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[1]ExtEntry!$M65</f>
        <v>1.9678000000000001E-2</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[1]ExtEntry!$M66</f>
        <v>-6.5719999999999997E-3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[1]ExtEntry!$M67</f>
        <v>6.2539999999999991E-3</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[1]ExtEntry!$M68</f>
        <v>-2.7365E-2</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[1]ExtEntry!$M69</f>
        <v>-1.1110999999999999E-2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[1]ExtEntry!$M70</f>
        <v>2.1719999999999999E-3</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[1]ExtEntry!$M71</f>
        <v>2.6438000000000003E-2</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[1]ExtEntry!$M72</f>
        <v>-0.115673</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[1]ExtEntry!$M73</f>
        <v>8.0149999999999996E-3</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[1]ExtEntry!$M74</f>
        <v>5.2914000000000003E-2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[1]ExtEntry!$M75</f>
        <v>-1.003E-3</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[1]ExtEntry!$M76</f>
        <v>-1.4838E-2</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[1]ExtEntry!$M77</f>
        <v>1.8119E-2</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[1]ExtEntry!$M78</f>
        <v>-2.0788999999999998E-2</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[1]ExtEntry!$M79</f>
        <v>5.3969999999999999E-3</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[1]ExtEntry!$M80</f>
        <v>-2.8249999999999998E-3</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[1]ExtEntry!$M81</f>
        <v>8.2608999999999988E-2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[1]ExtEntry!$M82</f>
        <v>2.7134000000000002E-2</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[1]ExtEntry!$M83</f>
        <v>-3.5790000000000001E-3</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[1]ExtEntry!$M84</f>
        <v>-2.3847E-2</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[1]ExtEntry!$M85</f>
        <v>-9.4810000000000001E-4</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[1]ExtEntry!$M86</f>
        <v>1.6141000000000003E-2</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[1]ExtEntry!$M87</f>
        <v>2.2067E-2</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[1]ExtEntry!$M88</f>
        <v>-1.843E-3</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[1]ExtEntry!$M89</f>
        <v>1.5384999999999999E-2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[1]ExtEntry!$M90</f>
        <v>1.9057999999999999E-2</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[1]ExtEntry!$M91</f>
        <v>-7.6272000000000006E-2</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[1]ExtEntry!$M92</f>
        <v>3.2079999999999999E-3</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[1]ExtEntry!$M94</f>
        <v>-2.5490000000000001E-3</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[1]ExtEntry!$M95</f>
        <v>-2.7365E-2</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[1]ExtEntry!$M96</f>
        <v>1.555E-3</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45940</v>
      </c>
      <c r="G802" s="117">
        <f t="shared" ca="1" si="65"/>
        <v>45943</v>
      </c>
      <c r="H802" s="117">
        <f t="shared" ca="1" si="65"/>
        <v>45944</v>
      </c>
      <c r="I802" s="117">
        <f t="shared" ca="1" si="65"/>
        <v>45945</v>
      </c>
      <c r="J802" s="117">
        <f t="shared" ca="1" si="65"/>
        <v>45946</v>
      </c>
      <c r="K802" s="117">
        <f t="shared" ca="1" si="65"/>
        <v>45947</v>
      </c>
      <c r="L802" s="117">
        <f t="shared" ca="1" si="65"/>
        <v>45950</v>
      </c>
      <c r="M802" s="117">
        <f t="shared" ca="1" si="65"/>
        <v>45951</v>
      </c>
      <c r="N802" s="117">
        <f t="shared" ca="1" si="65"/>
        <v>45952</v>
      </c>
      <c r="O802" s="117">
        <f t="shared" ca="1" si="65"/>
        <v>45953</v>
      </c>
      <c r="P802" s="117">
        <f t="shared" ca="1" si="65"/>
        <v>45954</v>
      </c>
      <c r="Q802" s="117">
        <f t="shared" ca="1" si="65"/>
        <v>45957</v>
      </c>
      <c r="R802" s="117">
        <f t="shared" ca="1" si="65"/>
        <v>45958</v>
      </c>
      <c r="S802" s="117">
        <f t="shared" ca="1" si="65"/>
        <v>45959</v>
      </c>
      <c r="T802" s="117">
        <f t="shared" ca="1" si="65"/>
        <v>45960</v>
      </c>
      <c r="U802" s="117">
        <f t="shared" ca="1" si="65"/>
        <v>45961</v>
      </c>
      <c r="V802" s="117">
        <f t="shared" ca="1" si="65"/>
        <v>45964</v>
      </c>
      <c r="W802" s="117">
        <f t="shared" ca="1" si="65"/>
        <v>45965</v>
      </c>
      <c r="X802" s="117">
        <f t="shared" ca="1" si="65"/>
        <v>45966</v>
      </c>
      <c r="Y802" s="117">
        <f t="shared" ca="1" si="65"/>
        <v>45967</v>
      </c>
      <c r="Z802" s="117">
        <f t="shared" ca="1" si="65"/>
        <v>45968</v>
      </c>
      <c r="AB802" s="117">
        <f t="shared" ref="AB802:AV802" ca="1" si="66">F702</f>
        <v>45940</v>
      </c>
      <c r="AC802" s="117">
        <f t="shared" ca="1" si="66"/>
        <v>45943</v>
      </c>
      <c r="AD802" s="117">
        <f t="shared" ca="1" si="66"/>
        <v>45944</v>
      </c>
      <c r="AE802" s="117">
        <f t="shared" ca="1" si="66"/>
        <v>45945</v>
      </c>
      <c r="AF802" s="117">
        <f t="shared" ca="1" si="66"/>
        <v>45946</v>
      </c>
      <c r="AG802" s="117">
        <f t="shared" ca="1" si="66"/>
        <v>45947</v>
      </c>
      <c r="AH802" s="117">
        <f t="shared" ca="1" si="66"/>
        <v>45950</v>
      </c>
      <c r="AI802" s="117">
        <f t="shared" ca="1" si="66"/>
        <v>45951</v>
      </c>
      <c r="AJ802" s="117">
        <f t="shared" ca="1" si="66"/>
        <v>45952</v>
      </c>
      <c r="AK802" s="117">
        <f t="shared" ca="1" si="66"/>
        <v>45953</v>
      </c>
      <c r="AL802" s="117">
        <f t="shared" ca="1" si="66"/>
        <v>45954</v>
      </c>
      <c r="AM802" s="117">
        <f t="shared" ca="1" si="66"/>
        <v>45957</v>
      </c>
      <c r="AN802" s="117">
        <f t="shared" ca="1" si="66"/>
        <v>45958</v>
      </c>
      <c r="AO802" s="117">
        <f t="shared" ca="1" si="66"/>
        <v>45959</v>
      </c>
      <c r="AP802" s="117">
        <f t="shared" ca="1" si="66"/>
        <v>45960</v>
      </c>
      <c r="AQ802" s="117">
        <f t="shared" ca="1" si="66"/>
        <v>45961</v>
      </c>
      <c r="AR802" s="117">
        <f t="shared" ca="1" si="66"/>
        <v>45964</v>
      </c>
      <c r="AS802" s="117">
        <f t="shared" ca="1" si="66"/>
        <v>45965</v>
      </c>
      <c r="AT802" s="117">
        <f t="shared" ca="1" si="66"/>
        <v>45966</v>
      </c>
      <c r="AU802" s="117">
        <f t="shared" ca="1" si="66"/>
        <v>45967</v>
      </c>
      <c r="AV802" s="117">
        <f t="shared" ca="1" si="66"/>
        <v>45968</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[1]ExtEntry!$N18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[1]ExtEntry!$N19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[1]ExtEntry!$N26</f>
        <v>207.6</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[1]ExtEntry!$N27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[1]ExtEntry!$N28</f>
        <v>6.4</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23.15</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[1]ExtEntry!$N34</f>
        <v>779.94</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[1]ExtEntry!$N35</f>
        <v>2.5</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[1]ExtEntry!$N39</f>
        <v>0.62429999999999997</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[1]ExtEntry!$N40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[1]ExtEntry!$N42</f>
        <v>209.7</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[1]ExtEntry!$N44</f>
        <v>7.62</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[1]ExtEntry!$N45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[1]ExtEntry!$N57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[1]ExtEntry!$N61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[1]ExtEntry!$N64</f>
        <v>209.7</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[1]ExtEntry!$N72</f>
        <v>207.6</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23.15</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[1]ExtEntry!$N78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[1]ExtEntry!$N81</f>
        <v>1.08</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[1]ExtEntry!$N90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[1]ExtEntry!$N95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45940</v>
      </c>
      <c r="G901" s="117">
        <f t="shared" ca="1" si="73"/>
        <v>45943</v>
      </c>
      <c r="H901" s="117">
        <f t="shared" ca="1" si="73"/>
        <v>45944</v>
      </c>
      <c r="I901" s="117">
        <f t="shared" ca="1" si="73"/>
        <v>45945</v>
      </c>
      <c r="J901" s="117">
        <f t="shared" ca="1" si="73"/>
        <v>45946</v>
      </c>
      <c r="K901" s="117">
        <f t="shared" ca="1" si="73"/>
        <v>45947</v>
      </c>
      <c r="L901" s="117">
        <f t="shared" ca="1" si="73"/>
        <v>45950</v>
      </c>
      <c r="M901" s="117">
        <f t="shared" ca="1" si="73"/>
        <v>45951</v>
      </c>
      <c r="N901" s="117">
        <f t="shared" ca="1" si="73"/>
        <v>45952</v>
      </c>
      <c r="O901" s="117">
        <f t="shared" ca="1" si="73"/>
        <v>45953</v>
      </c>
      <c r="P901" s="117">
        <f t="shared" ca="1" si="73"/>
        <v>45954</v>
      </c>
      <c r="Q901" s="117">
        <f t="shared" ca="1" si="73"/>
        <v>45957</v>
      </c>
      <c r="R901" s="117">
        <f t="shared" ca="1" si="73"/>
        <v>45958</v>
      </c>
      <c r="S901" s="117">
        <f t="shared" ca="1" si="73"/>
        <v>45959</v>
      </c>
      <c r="T901" s="117">
        <f t="shared" ca="1" si="73"/>
        <v>45960</v>
      </c>
      <c r="U901" s="117">
        <f t="shared" ca="1" si="73"/>
        <v>45961</v>
      </c>
      <c r="V901" s="117">
        <f t="shared" ca="1" si="73"/>
        <v>45964</v>
      </c>
      <c r="W901" s="117">
        <f t="shared" ca="1" si="73"/>
        <v>45965</v>
      </c>
      <c r="X901" s="117">
        <f t="shared" ca="1" si="73"/>
        <v>45966</v>
      </c>
      <c r="Y901" s="117">
        <f t="shared" ca="1" si="73"/>
        <v>45967</v>
      </c>
      <c r="Z901" s="117">
        <f t="shared" ca="1" si="73"/>
        <v>45968</v>
      </c>
      <c r="AB901" s="117">
        <f t="shared" ref="AB901:AV901" ca="1" si="74">F802</f>
        <v>45940</v>
      </c>
      <c r="AC901" s="117">
        <f t="shared" ca="1" si="74"/>
        <v>45943</v>
      </c>
      <c r="AD901" s="117">
        <f t="shared" ca="1" si="74"/>
        <v>45944</v>
      </c>
      <c r="AE901" s="117">
        <f t="shared" ca="1" si="74"/>
        <v>45945</v>
      </c>
      <c r="AF901" s="117">
        <f t="shared" ca="1" si="74"/>
        <v>45946</v>
      </c>
      <c r="AG901" s="117">
        <f t="shared" ca="1" si="74"/>
        <v>45947</v>
      </c>
      <c r="AH901" s="117">
        <f t="shared" ca="1" si="74"/>
        <v>45950</v>
      </c>
      <c r="AI901" s="117">
        <f t="shared" ca="1" si="74"/>
        <v>45951</v>
      </c>
      <c r="AJ901" s="117">
        <f t="shared" ca="1" si="74"/>
        <v>45952</v>
      </c>
      <c r="AK901" s="117">
        <f t="shared" ca="1" si="74"/>
        <v>45953</v>
      </c>
      <c r="AL901" s="117">
        <f t="shared" ca="1" si="74"/>
        <v>45954</v>
      </c>
      <c r="AM901" s="117">
        <f t="shared" ca="1" si="74"/>
        <v>45957</v>
      </c>
      <c r="AN901" s="117">
        <f t="shared" ca="1" si="74"/>
        <v>45958</v>
      </c>
      <c r="AO901" s="117">
        <f t="shared" ca="1" si="74"/>
        <v>45959</v>
      </c>
      <c r="AP901" s="117">
        <f t="shared" ca="1" si="74"/>
        <v>45960</v>
      </c>
      <c r="AQ901" s="117">
        <f t="shared" ca="1" si="74"/>
        <v>45961</v>
      </c>
      <c r="AR901" s="117">
        <f t="shared" ca="1" si="74"/>
        <v>45964</v>
      </c>
      <c r="AS901" s="117">
        <f t="shared" ca="1" si="74"/>
        <v>45965</v>
      </c>
      <c r="AT901" s="117">
        <f t="shared" ca="1" si="74"/>
        <v>45966</v>
      </c>
      <c r="AU901" s="117">
        <f t="shared" ca="1" si="74"/>
        <v>45967</v>
      </c>
      <c r="AV901" s="117">
        <f t="shared" ca="1" si="74"/>
        <v>45968</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[1]ExtEntry!$O3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[1]ExtEntry!$O6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[1]ExtEntry!$O8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[1]ExtEntry!$O9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86.57</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[1]ExtEntry!$O14</f>
        <v>74.837999999999994</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[1]ExtEntry!$O15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24.83</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[1]ExtEntry!$O23</f>
        <v>70.734999999999999</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[1]ExtEntry!$O26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[1]ExtEntry!$O29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[1]ExtEntry!$O30</f>
        <v>56.695</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[1]ExtEntry!$O32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9.17</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44.03</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[1]ExtEntry!$O43</f>
        <v>19.86</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[1]ExtEntry!$O59</f>
        <v>16.11</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59.42</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44.03</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[1]ExtEntry!$O66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[1]ExtEntry!$O67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[1]ExtEntry!$O68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[1]ExtEntry!$O71</f>
        <v>70.734999999999999</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[1]ExtEntry!$O72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[1]ExtEntry!$O73</f>
        <v>56.695</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[1]ExtEntry!$O75</f>
        <v>16.11</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[1]ExtEntry!$O77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59.42</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825.25</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18.600000000000001</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133.55000000000001</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[1]ExtEntry!$O88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[1]ExtEntry!$O89</f>
        <v>4.68</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[1]ExtEntry!$O95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[1]ExtEntry!$O96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45940</v>
      </c>
      <c r="G1000" s="117">
        <f t="shared" ca="1" si="82"/>
        <v>45943</v>
      </c>
      <c r="H1000" s="117">
        <f t="shared" ca="1" si="82"/>
        <v>45944</v>
      </c>
      <c r="I1000" s="117">
        <f t="shared" ca="1" si="82"/>
        <v>45945</v>
      </c>
      <c r="J1000" s="117">
        <f t="shared" ca="1" si="82"/>
        <v>45946</v>
      </c>
      <c r="K1000" s="117">
        <f t="shared" ca="1" si="82"/>
        <v>45947</v>
      </c>
      <c r="L1000" s="117">
        <f t="shared" ca="1" si="82"/>
        <v>45950</v>
      </c>
      <c r="M1000" s="117">
        <f t="shared" ca="1" si="82"/>
        <v>45951</v>
      </c>
      <c r="N1000" s="117">
        <f t="shared" ca="1" si="82"/>
        <v>45952</v>
      </c>
      <c r="O1000" s="117">
        <f t="shared" ca="1" si="82"/>
        <v>45953</v>
      </c>
      <c r="P1000" s="117">
        <f t="shared" ca="1" si="82"/>
        <v>45954</v>
      </c>
      <c r="Q1000" s="117">
        <f t="shared" ca="1" si="82"/>
        <v>45957</v>
      </c>
      <c r="R1000" s="117">
        <f t="shared" ca="1" si="82"/>
        <v>45958</v>
      </c>
      <c r="S1000" s="117">
        <f t="shared" ca="1" si="82"/>
        <v>45959</v>
      </c>
      <c r="T1000" s="117">
        <f t="shared" ca="1" si="82"/>
        <v>45960</v>
      </c>
      <c r="U1000" s="117">
        <f t="shared" ca="1" si="82"/>
        <v>45961</v>
      </c>
      <c r="V1000" s="117">
        <f t="shared" ca="1" si="82"/>
        <v>45964</v>
      </c>
      <c r="W1000" s="117">
        <f t="shared" ca="1" si="82"/>
        <v>45965</v>
      </c>
      <c r="X1000" s="117">
        <f t="shared" ca="1" si="82"/>
        <v>45966</v>
      </c>
      <c r="Y1000" s="117">
        <f t="shared" ca="1" si="82"/>
        <v>45967</v>
      </c>
      <c r="Z1000" s="117">
        <f t="shared" ca="1" si="82"/>
        <v>45968</v>
      </c>
      <c r="AB1000" s="117">
        <f t="shared" ref="AB1000:AV1000" ca="1" si="83">F901</f>
        <v>45940</v>
      </c>
      <c r="AC1000" s="117">
        <f t="shared" ca="1" si="83"/>
        <v>45943</v>
      </c>
      <c r="AD1000" s="117">
        <f t="shared" ca="1" si="83"/>
        <v>45944</v>
      </c>
      <c r="AE1000" s="117">
        <f t="shared" ca="1" si="83"/>
        <v>45945</v>
      </c>
      <c r="AF1000" s="117">
        <f t="shared" ca="1" si="83"/>
        <v>45946</v>
      </c>
      <c r="AG1000" s="117">
        <f t="shared" ca="1" si="83"/>
        <v>45947</v>
      </c>
      <c r="AH1000" s="117">
        <f t="shared" ca="1" si="83"/>
        <v>45950</v>
      </c>
      <c r="AI1000" s="117">
        <f t="shared" ca="1" si="83"/>
        <v>45951</v>
      </c>
      <c r="AJ1000" s="117">
        <f t="shared" ca="1" si="83"/>
        <v>45952</v>
      </c>
      <c r="AK1000" s="117">
        <f t="shared" ca="1" si="83"/>
        <v>45953</v>
      </c>
      <c r="AL1000" s="117">
        <f t="shared" ca="1" si="83"/>
        <v>45954</v>
      </c>
      <c r="AM1000" s="117">
        <f t="shared" ca="1" si="83"/>
        <v>45957</v>
      </c>
      <c r="AN1000" s="117">
        <f t="shared" ca="1" si="83"/>
        <v>45958</v>
      </c>
      <c r="AO1000" s="117">
        <f t="shared" ca="1" si="83"/>
        <v>45959</v>
      </c>
      <c r="AP1000" s="117">
        <f t="shared" ca="1" si="83"/>
        <v>45960</v>
      </c>
      <c r="AQ1000" s="117">
        <f t="shared" ca="1" si="83"/>
        <v>45961</v>
      </c>
      <c r="AR1000" s="117">
        <f t="shared" ca="1" si="83"/>
        <v>45964</v>
      </c>
      <c r="AS1000" s="117">
        <f t="shared" ca="1" si="83"/>
        <v>45965</v>
      </c>
      <c r="AT1000" s="117">
        <f t="shared" ca="1" si="83"/>
        <v>45966</v>
      </c>
      <c r="AU1000" s="117">
        <f t="shared" ca="1" si="83"/>
        <v>45967</v>
      </c>
      <c r="AV1000" s="117">
        <f t="shared" ca="1" si="83"/>
        <v>45968</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[1]ExtEntry!$P3</f>
        <v>36177947</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[1]ExtEntry!$P4</f>
        <v>1051262</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[1]ExtEntry!$P5</f>
        <v>71429</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[1]ExtEntry!$P6</f>
        <v>37371756</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[1]ExtEntry!$P7</f>
        <v>2114</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[1]ExtEntry!$P8</f>
        <v>767828</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[1]ExtEntry!$P9</f>
        <v>16935678</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[1]ExtEntry!$P10</f>
        <v>3451912</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[1]ExtEntry!$P11</f>
        <v>5951226</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[1]ExtEntry!$P12</f>
        <v>23410</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[1]ExtEntry!$P13</f>
        <v>11541881</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[1]ExtEntry!$P14</f>
        <v>11027746</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[1]ExtEntry!$P15</f>
        <v>2829568</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[1]ExtEntry!$P16</f>
        <v>2472948</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[1]ExtEntry!$P17</f>
        <v>6540930</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[1]ExtEntry!$P18</f>
        <v>2490088</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[1]ExtEntry!$P19</f>
        <v>732613</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[1]ExtEntry!$P20</f>
        <v>1154850</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[1]ExtEntry!$P21</f>
        <v>3946</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[1]ExtEntry!$P23</f>
        <v>5637542</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[1]ExtEntry!$P24</f>
        <v>19027059</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[1]ExtEntry!$P25</f>
        <v>6260866</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[1]ExtEntry!$P26</f>
        <v>51664851</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[1]ExtEntry!$P27</f>
        <v>5363760</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[1]ExtEntry!$P28</f>
        <v>146278</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[1]ExtEntry!$P29</f>
        <v>17577716</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[1]ExtEntry!$P30</f>
        <v>8648447</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[1]ExtEntry!$P31</f>
        <v>16615200</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[1]ExtEntry!$P32</f>
        <v>6767531</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[1]ExtEntry!$P33</f>
        <v>4841213</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[1]ExtEntry!$P34</f>
        <v>3093411</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[1]ExtEntry!$P35</f>
        <v>444563</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[1]ExtEntry!$P36</f>
        <v>2923976</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[1]ExtEntry!$P37</f>
        <v>32510</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[1]ExtEntry!$P38</f>
        <v>9984437</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[1]ExtEntry!$P39</f>
        <v>18255</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[1]ExtEntry!$P40</f>
        <v>467069</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[1]ExtEntry!$P41</f>
        <v>8208</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[1]ExtEntry!$P42</f>
        <v>1495029</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[1]ExtEntry!$P43</f>
        <v>392172</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[1]ExtEntry!$P44</f>
        <v>524493</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[1]ExtEntry!$P45</f>
        <v>94942022</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[1]ExtEntry!$P46</f>
        <v>13720680</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[1]ExtEntry!$P47</f>
        <v>60</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[1]ExtEntry!$P48</f>
        <v>2428859</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[1]ExtEntry!$P49</f>
        <v>57199</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[1]ExtEntry!$P50</f>
        <v>29983</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[1]ExtEntry!$P51</f>
        <v>9388510</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[1]ExtEntry!$P53</f>
        <v>10244297</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[1]ExtEntry!$P54</f>
        <v>380699</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[1]ExtEntry!$P55</f>
        <v>2114</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[1]ExtEntry!$P56</f>
        <v>2472948</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[1]ExtEntry!$P57</f>
        <v>2490088</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[1]ExtEntry!$P58</f>
        <v>3946</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[1]ExtEntry!$P59</f>
        <v>7401986</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[1]ExtEntry!$P61</f>
        <v>1484276</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[1]ExtEntry!$P62</f>
        <v>3771241</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[1]ExtEntry!$P63</f>
        <v>8208</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[1]ExtEntry!$P64</f>
        <v>1495029</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[1]ExtEntry!$P65</f>
        <v>60</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[1]ExtEntry!$P66</f>
        <v>36177947</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[1]ExtEntry!$P67</f>
        <v>37371756</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[1]ExtEntry!$P68</f>
        <v>767828</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[1]ExtEntry!$P69</f>
        <v>2472948</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[1]ExtEntry!$P70</f>
        <v>6540930</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[1]ExtEntry!$P71</f>
        <v>5637542</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[1]ExtEntry!$P72</f>
        <v>51664851</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[1]ExtEntry!$P73</f>
        <v>8648447</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[1]ExtEntry!$P74</f>
        <v>2753308</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[1]ExtEntry!$P75</f>
        <v>7401986</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[1]ExtEntry!$P76</f>
        <v>3447479</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[1]ExtEntry!$P77</f>
        <v>69094524</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[1]ExtEntry!$P78</f>
        <v>1484276</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[1]ExtEntry!$P79</f>
        <v>952915</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[1]ExtEntry!$P80</f>
        <v>1676214</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[1]ExtEntry!$P81</f>
        <v>4135053</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[1]ExtEntry!$P82</f>
        <v>6397522</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[1]ExtEntry!$P83</f>
        <v>1662970</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[1]ExtEntry!$P84</f>
        <v>3913201</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[1]ExtEntry!$P85</f>
        <v>1208864</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[1]ExtEntry!$P86</f>
        <v>3771241</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[1]ExtEntry!$P87</f>
        <v>7457657</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[1]ExtEntry!$P88</f>
        <v>105832530</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[1]ExtEntry!$P89</f>
        <v>35429579</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[1]ExtEntry!$P90</f>
        <v>1497331</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[1]ExtEntry!$P91</f>
        <v>19040626</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[1]ExtEntry!$P92</f>
        <v>362753</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[1]ExtEntry!$P94</f>
        <v>20677</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[1]ExtEntry!$P95</f>
        <v>767828</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[1]ExtEntry!$P96</f>
        <v>3946</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45940</v>
      </c>
      <c r="G1099" s="117">
        <f t="shared" ca="1" si="92"/>
        <v>45943</v>
      </c>
      <c r="H1099" s="117">
        <f t="shared" ca="1" si="92"/>
        <v>45944</v>
      </c>
      <c r="I1099" s="117">
        <f t="shared" ca="1" si="92"/>
        <v>45945</v>
      </c>
      <c r="J1099" s="117">
        <f t="shared" ca="1" si="92"/>
        <v>45946</v>
      </c>
      <c r="K1099" s="117">
        <f t="shared" ca="1" si="92"/>
        <v>45947</v>
      </c>
      <c r="L1099" s="117">
        <f t="shared" ca="1" si="92"/>
        <v>45950</v>
      </c>
      <c r="M1099" s="117">
        <f t="shared" ca="1" si="92"/>
        <v>45951</v>
      </c>
      <c r="N1099" s="117">
        <f t="shared" ca="1" si="92"/>
        <v>45952</v>
      </c>
      <c r="O1099" s="117">
        <f t="shared" ca="1" si="92"/>
        <v>45953</v>
      </c>
      <c r="P1099" s="117">
        <f t="shared" ca="1" si="92"/>
        <v>45954</v>
      </c>
      <c r="Q1099" s="117">
        <f t="shared" ca="1" si="92"/>
        <v>45957</v>
      </c>
      <c r="R1099" s="117">
        <f t="shared" ca="1" si="92"/>
        <v>45958</v>
      </c>
      <c r="S1099" s="117">
        <f t="shared" ca="1" si="92"/>
        <v>45959</v>
      </c>
      <c r="T1099" s="117">
        <f t="shared" ca="1" si="92"/>
        <v>45960</v>
      </c>
      <c r="U1099" s="117">
        <f t="shared" ca="1" si="92"/>
        <v>45961</v>
      </c>
      <c r="V1099" s="117">
        <f t="shared" ca="1" si="92"/>
        <v>45964</v>
      </c>
      <c r="W1099" s="117">
        <f t="shared" ca="1" si="92"/>
        <v>45965</v>
      </c>
      <c r="X1099" s="117">
        <f t="shared" ca="1" si="92"/>
        <v>45966</v>
      </c>
      <c r="Y1099" s="117">
        <f t="shared" ca="1" si="92"/>
        <v>45967</v>
      </c>
      <c r="Z1099" s="117">
        <f t="shared" ca="1" si="92"/>
        <v>45968</v>
      </c>
      <c r="AB1099" s="117">
        <f t="shared" ref="AB1099:AV1099" ca="1" si="93">F1000</f>
        <v>45940</v>
      </c>
      <c r="AC1099" s="117">
        <f t="shared" ca="1" si="93"/>
        <v>45943</v>
      </c>
      <c r="AD1099" s="117">
        <f t="shared" ca="1" si="93"/>
        <v>45944</v>
      </c>
      <c r="AE1099" s="117">
        <f t="shared" ca="1" si="93"/>
        <v>45945</v>
      </c>
      <c r="AF1099" s="117">
        <f t="shared" ca="1" si="93"/>
        <v>45946</v>
      </c>
      <c r="AG1099" s="117">
        <f t="shared" ca="1" si="93"/>
        <v>45947</v>
      </c>
      <c r="AH1099" s="117">
        <f t="shared" ca="1" si="93"/>
        <v>45950</v>
      </c>
      <c r="AI1099" s="117">
        <f t="shared" ca="1" si="93"/>
        <v>45951</v>
      </c>
      <c r="AJ1099" s="117">
        <f t="shared" ca="1" si="93"/>
        <v>45952</v>
      </c>
      <c r="AK1099" s="117">
        <f t="shared" ca="1" si="93"/>
        <v>45953</v>
      </c>
      <c r="AL1099" s="117">
        <f t="shared" ca="1" si="93"/>
        <v>45954</v>
      </c>
      <c r="AM1099" s="117">
        <f t="shared" ca="1" si="93"/>
        <v>45957</v>
      </c>
      <c r="AN1099" s="117">
        <f t="shared" ca="1" si="93"/>
        <v>45958</v>
      </c>
      <c r="AO1099" s="117">
        <f t="shared" ca="1" si="93"/>
        <v>45959</v>
      </c>
      <c r="AP1099" s="117">
        <f t="shared" ca="1" si="93"/>
        <v>45960</v>
      </c>
      <c r="AQ1099" s="117">
        <f t="shared" ca="1" si="93"/>
        <v>45961</v>
      </c>
      <c r="AR1099" s="117">
        <f t="shared" ca="1" si="93"/>
        <v>45964</v>
      </c>
      <c r="AS1099" s="117">
        <f t="shared" ca="1" si="93"/>
        <v>45965</v>
      </c>
      <c r="AT1099" s="117">
        <f t="shared" ca="1" si="93"/>
        <v>45966</v>
      </c>
      <c r="AU1099" s="117">
        <f t="shared" ca="1" si="93"/>
        <v>45967</v>
      </c>
      <c r="AV1099" s="117">
        <f t="shared" ca="1" si="93"/>
        <v>45968</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[1]ExtEntry!$Q3</f>
        <v>48006189</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[1]ExtEntry!$Q4</f>
        <v>757199</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[1]ExtEntry!$Q5</f>
        <v>312510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[1]ExtEntry!$Q6</f>
        <v>53833734</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[1]ExtEntry!$Q7</f>
        <v>6470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[1]ExtEntry!$Q8</f>
        <v>539670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[1]ExtEntry!$Q9</f>
        <v>20913068</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[1]ExtEntry!$Q10</f>
        <v>5161133</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[1]ExtEntry!$Q11</f>
        <v>8843858</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[1]ExtEntry!$Q12</f>
        <v>203830</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[1]ExtEntry!$Q13</f>
        <v>13046626</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[1]ExtEntry!$Q14</f>
        <v>17811359</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[1]ExtEntry!$Q15</f>
        <v>7839054</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[1]ExtEntry!$Q16</f>
        <v>4513661</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[1]ExtEntry!$Q17</f>
        <v>7533891</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[1]ExtEntry!$Q18</f>
        <v>2566620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[1]ExtEntry!$Q19</f>
        <v>838102</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-55690.290000000066</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[1]ExtEntry!$Q20</f>
        <v>1987627</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[1]ExtEntry!$Q21</f>
        <v>2864900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[1]ExtEntry!$Q23</f>
        <v>10498677</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[1]ExtEntry!$Q24</f>
        <v>37867308</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[1]ExtEntry!$Q25</f>
        <v>12289307</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[1]ExtEntry!$Q26</f>
        <v>13416260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[1]ExtEntry!$Q27</f>
        <v>6237663</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[1]ExtEntry!$Q28</f>
        <v>52953</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[1]ExtEntry!$Q29</f>
        <v>22671701</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[1]ExtEntry!$Q30</f>
        <v>11202589</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[1]ExtEntry!$Q31</f>
        <v>20734244</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[1]ExtEntry!$Q32</f>
        <v>9726195</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[1]ExtEntry!$Q33</f>
        <v>12027100</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[1]ExtEntry!$Q34</f>
        <v>4409922</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[1]ExtEntry!$Q35</f>
        <v>258326</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[1]ExtEntry!$Q36</f>
        <v>6119969</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[1]ExtEntry!$Q37</f>
        <v>70048</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[1]ExtEntry!$Q38</f>
        <v>18205429</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[1]ExtEntry!$Q39</f>
        <v>88719</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[1]ExtEntry!$Q40</f>
        <v>576881</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[1]ExtEntry!$Q41</f>
        <v>1843470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[1]ExtEntry!$Q42</f>
        <v>1289070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[1]ExtEntry!$Q43</f>
        <v>7897470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[1]ExtEntry!$Q44</f>
        <v>975678</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[1]ExtEntry!$Q45</f>
        <v>86580458</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[1]ExtEntry!$Q46</f>
        <v>14646653</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[1]ExtEntry!$Q47</f>
        <v>5290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[1]ExtEntry!$Q48</f>
        <v>2656875</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[1]ExtEntry!$Q49</f>
        <v>2092400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[1]ExtEntry!$Q50</f>
        <v>39360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[1]ExtEntry!$Q51</f>
        <v>8281876</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[1]ExtEntry!$Q53</f>
        <v>12589358</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[1]ExtEntry!$Q54</f>
        <v>484403</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[1]ExtEntry!$Q55</f>
        <v>6470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[1]ExtEntry!$Q56</f>
        <v>4513661</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[1]ExtEntry!$Q57</f>
        <v>2566620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[1]ExtEntry!$Q58</f>
        <v>2864900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[1]ExtEntry!$Q59</f>
        <v>12415140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[1]ExtEntry!$Q61</f>
        <v>2071700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[1]ExtEntry!$Q62</f>
        <v>3489020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[1]ExtEntry!$Q63</f>
        <v>1843470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[1]ExtEntry!$Q64</f>
        <v>1289070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[1]ExtEntry!$Q65</f>
        <v>5290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[1]ExtEntry!$Q66</f>
        <v>48006189</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[1]ExtEntry!$Q67</f>
        <v>53833734</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[1]ExtEntry!$Q68</f>
        <v>539670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[1]ExtEntry!$Q69</f>
        <v>4513661</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[1]ExtEntry!$Q70</f>
        <v>7533891</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[1]ExtEntry!$Q71</f>
        <v>10498677</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[1]ExtEntry!$Q72</f>
        <v>13416260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[1]ExtEntry!$Q73</f>
        <v>11202589</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[1]ExtEntry!$Q74</f>
        <v>5845744</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[1]ExtEntry!$Q75</f>
        <v>12415140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[1]ExtEntry!$Q76</f>
        <v>3367950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[1]ExtEntry!$Q77</f>
        <v>137707870</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[1]ExtEntry!$Q78</f>
        <v>2071700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[1]ExtEntry!$Q79</f>
        <v>1295183</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[1]ExtEntry!$Q80</f>
        <v>2106003</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[1]ExtEntry!$Q81</f>
        <v>11614984</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[1]ExtEntry!$Q82</f>
        <v>9970100</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[1]ExtEntry!$Q83</f>
        <v>2708059</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[1]ExtEntry!$Q84</f>
        <v>4326412</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[1]ExtEntry!$Q85</f>
        <v>1748744</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[1]ExtEntry!$Q86</f>
        <v>3489020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[1]ExtEntry!$Q87</f>
        <v>10139632</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[1]ExtEntry!$Q88</f>
        <v>69122134</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[1]ExtEntry!$Q89</f>
        <v>58331970</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[1]ExtEntry!$Q90</f>
        <v>3004696</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[1]ExtEntry!$Q91</f>
        <v>5582730</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[1]ExtEntry!$Q92</f>
        <v>1066425</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24">
        <v>#VALUE!</v>
      </c>
      <c r="G1192" s="247" t="e" vm="424">
        <v>#VALUE!</v>
      </c>
      <c r="H1192" s="247" t="e" vm="424">
        <v>#VALUE!</v>
      </c>
      <c r="I1192" s="247" t="e" vm="424">
        <v>#VALUE!</v>
      </c>
      <c r="J1192" s="247" t="e" vm="424">
        <v>#VALUE!</v>
      </c>
      <c r="K1192" s="247" t="e" vm="424">
        <v>#VALUE!</v>
      </c>
      <c r="L1192" s="247" t="e" vm="424">
        <v>#VALUE!</v>
      </c>
      <c r="M1192" s="247" t="e" vm="424">
        <v>#VALUE!</v>
      </c>
      <c r="N1192" s="247" t="e" vm="424">
        <v>#VALUE!</v>
      </c>
      <c r="O1192" s="247" t="e" vm="424">
        <v>#VALUE!</v>
      </c>
      <c r="P1192" s="247" t="e" vm="424">
        <v>#VALUE!</v>
      </c>
      <c r="Q1192" s="247" t="e" vm="424">
        <v>#VALUE!</v>
      </c>
      <c r="R1192" s="247" t="e" vm="424">
        <v>#VALUE!</v>
      </c>
      <c r="S1192" s="247" t="e" vm="424">
        <v>#VALUE!</v>
      </c>
      <c r="T1192" s="247" t="e" vm="424">
        <v>#VALUE!</v>
      </c>
      <c r="U1192" s="247" t="e" vm="424">
        <v>#VALUE!</v>
      </c>
      <c r="V1192" s="247" t="e" vm="424">
        <v>#VALUE!</v>
      </c>
      <c r="W1192" s="247" t="e" vm="424">
        <v>#VALUE!</v>
      </c>
      <c r="X1192" s="247" t="e" vm="424">
        <v>#VALUE!</v>
      </c>
      <c r="Y1192" s="247" t="e" vm="424">
        <v>#VALUE!</v>
      </c>
      <c r="Z1192" s="247" t="e" vm="425">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[1]ExtEntry!$Q95</f>
        <v>539670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[1]ExtEntry!$Q96</f>
        <v>2864900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8979.9999999999964</v>
      </c>
      <c r="AC1197" s="93" cm="1">
        <f t="array" aca="1" ref="AC1197" ca="1">_xlfn.XLOOKUP(DataShiftChartTicker,ListTickers,Tab2RevSale[RevSale1])</f>
        <v>7479.9999999999955</v>
      </c>
      <c r="AD1197" s="93" cm="1">
        <f t="array" aca="1" ref="AD1197" ca="1">_xlfn.XLOOKUP(DataShiftChartTicker,ListTickers,Tab2RevSale[RevSale2])</f>
        <v>6020.0000000000045</v>
      </c>
      <c r="AE1197" s="93" t="e" cm="1">
        <f t="array" aca="1" ref="AE1197" ca="1">_xlfn.XLOOKUP(DataShiftChartTicker,AF1197,Tab2RevSale[RevSale3])</f>
        <v>#N/A</v>
      </c>
      <c r="AF1197" s="93" cm="1">
        <f t="array" aca="1" ref="AF1197" ca="1">_xlfn.XLOOKUP(DataShiftChartTicker,ListTickers,Tab2RevSale[RevSale4])</f>
        <v>11820.000000000004</v>
      </c>
      <c r="AG1197" s="93" cm="1">
        <f t="array" aca="1" ref="AG1197" ca="1">_xlfn.XLOOKUP(DataShiftChartTicker,ListTickers,Tab2RevSale[RevSale5])</f>
        <v>12700</v>
      </c>
      <c r="AH1197" s="93" cm="1">
        <f t="array" aca="1" ref="AH1197" ca="1">_xlfn.XLOOKUP(DataShiftChartTicker,ListTickers,Tab2RevSale[RevSale6])</f>
        <v>12360.000000000015</v>
      </c>
      <c r="AI1197" s="93" cm="1">
        <f t="array" aca="1" ref="AI1197" ca="1">_xlfn.XLOOKUP(DataShiftChartTicker,ListTickers,Tab2RevSale[RevSale7])</f>
        <v>17020.000000000004</v>
      </c>
      <c r="AJ1197" s="93" cm="1">
        <f t="array" aca="1" ref="AJ1197" ca="1">_xlfn.XLOOKUP(DataShiftChartTicker,ListTickers,Tab2RevSale[RevSale8])</f>
        <v>15179.999999999996</v>
      </c>
      <c r="AK1197" s="93" cm="1">
        <f t="array" aca="1" ref="AK1197" ca="1">_xlfn.XLOOKUP(DataShiftChartTicker,ListTickers,Tab2RevSale[RevSale9])</f>
        <v>11240.000000000009</v>
      </c>
      <c r="AL1197" s="93" cm="1">
        <f t="array" aca="1" ref="AL1197" ca="1">_xlfn.XLOOKUP(DataShiftChartTicker,ListTickers,Tab2RevSale[RevSale10])</f>
        <v>11240.000000000009</v>
      </c>
      <c r="AM1197" s="93" cm="1">
        <f t="array" aca="1" ref="AM1197" ca="1">_xlfn.XLOOKUP(DataShiftChartTicker,ListTickers,Tab2RevSale[RevSale11])</f>
        <v>14760.000000000015</v>
      </c>
      <c r="AN1197" s="93" cm="1">
        <f t="array" aca="1" ref="AN1197" ca="1">_xlfn.XLOOKUP(DataShiftChartTicker,ListTickers,Tab2RevSale[RevSale12])</f>
        <v>16100</v>
      </c>
      <c r="AO1197" s="93" cm="1">
        <f t="array" aca="1" ref="AO1197" ca="1">_xlfn.XLOOKUP(DataShiftChartTicker,ListTickers,Tab2RevSale[RevSale13])</f>
        <v>18840.000000000007</v>
      </c>
      <c r="AP1197" s="93" cm="1">
        <f t="array" aca="1" ref="AP1197" ca="1">_xlfn.XLOOKUP(DataShiftChartTicker,ListTickers,Tab2RevSale[RevSale14])</f>
        <v>18700</v>
      </c>
      <c r="AQ1197" s="93" cm="1">
        <f t="array" aca="1" ref="AQ1197" ca="1">_xlfn.XLOOKUP(DataShiftChartTicker,ListTickers,Tab2RevSale[RevSale15])</f>
        <v>24720.000000000004</v>
      </c>
      <c r="AR1197" s="93" cm="1">
        <f t="array" aca="1" ref="AR1197" ca="1">_xlfn.XLOOKUP(DataShiftChartTicker,ListTickers,Tab2RevSale[RevSale16])</f>
        <v>20820.000000000004</v>
      </c>
      <c r="AS1197" s="93" cm="1">
        <f t="array" aca="1" ref="AS1197" ca="1">_xlfn.XLOOKUP(DataShiftChartTicker,ListTickers,Tab2RevSale[RevSale17])</f>
        <v>18540.000000000007</v>
      </c>
      <c r="AT1197" s="93" cm="1">
        <f t="array" aca="1" ref="AT1197" ca="1">_xlfn.XLOOKUP(DataShiftChartTicker,ListTickers,Tab2RevSale[RevSale18])</f>
        <v>16279.999999999996</v>
      </c>
      <c r="AU1197" s="93" cm="1">
        <f t="array" aca="1" ref="AU1197" ca="1">_xlfn.XLOOKUP(DataShiftChartTicker,ListTickers,Tab2RevSale[RevSale19])</f>
        <v>11379.999999999996</v>
      </c>
      <c r="AV1197" s="93" cm="1">
        <f t="array" aca="1" ref="AV1197" ca="1">_xlfn.XLOOKUP(DataShiftChartTicker,ListTickers,Tab2RevSale[RevSale20])</f>
        <v>11379.999999999996</v>
      </c>
      <c r="AX1197" s="88"/>
    </row>
    <row r="1198" spans="1:50" x14ac:dyDescent="0.3">
      <c r="A1198" s="88"/>
      <c r="F1198" s="117">
        <f t="shared" ref="F1198:Z1198" ca="1" si="99">F1099</f>
        <v>45940</v>
      </c>
      <c r="G1198" s="117">
        <f t="shared" ca="1" si="99"/>
        <v>45943</v>
      </c>
      <c r="H1198" s="117">
        <f t="shared" ca="1" si="99"/>
        <v>45944</v>
      </c>
      <c r="I1198" s="117">
        <f t="shared" ca="1" si="99"/>
        <v>45945</v>
      </c>
      <c r="J1198" s="117">
        <f t="shared" ca="1" si="99"/>
        <v>45946</v>
      </c>
      <c r="K1198" s="117">
        <f t="shared" ca="1" si="99"/>
        <v>45947</v>
      </c>
      <c r="L1198" s="117">
        <f t="shared" ca="1" si="99"/>
        <v>45950</v>
      </c>
      <c r="M1198" s="117">
        <f t="shared" ca="1" si="99"/>
        <v>45951</v>
      </c>
      <c r="N1198" s="117">
        <f t="shared" ca="1" si="99"/>
        <v>45952</v>
      </c>
      <c r="O1198" s="117">
        <f t="shared" ca="1" si="99"/>
        <v>45953</v>
      </c>
      <c r="P1198" s="117">
        <f t="shared" ca="1" si="99"/>
        <v>45954</v>
      </c>
      <c r="Q1198" s="117">
        <f t="shared" ca="1" si="99"/>
        <v>45957</v>
      </c>
      <c r="R1198" s="117">
        <f t="shared" ca="1" si="99"/>
        <v>45958</v>
      </c>
      <c r="S1198" s="117">
        <f t="shared" ca="1" si="99"/>
        <v>45959</v>
      </c>
      <c r="T1198" s="117">
        <f t="shared" ca="1" si="99"/>
        <v>45960</v>
      </c>
      <c r="U1198" s="117">
        <f t="shared" ca="1" si="99"/>
        <v>45961</v>
      </c>
      <c r="V1198" s="117">
        <f t="shared" ca="1" si="99"/>
        <v>45964</v>
      </c>
      <c r="W1198" s="117">
        <f t="shared" ca="1" si="99"/>
        <v>45965</v>
      </c>
      <c r="X1198" s="117">
        <f t="shared" ca="1" si="99"/>
        <v>45966</v>
      </c>
      <c r="Y1198" s="117">
        <f t="shared" ca="1" si="99"/>
        <v>45967</v>
      </c>
      <c r="Z1198" s="117">
        <f t="shared" ca="1" si="99"/>
        <v>45968</v>
      </c>
      <c r="AB1198" s="117">
        <f t="shared" ref="AB1198:AV1198" ca="1" si="100">F1099</f>
        <v>45940</v>
      </c>
      <c r="AC1198" s="117">
        <f t="shared" ca="1" si="100"/>
        <v>45943</v>
      </c>
      <c r="AD1198" s="117">
        <f t="shared" ca="1" si="100"/>
        <v>45944</v>
      </c>
      <c r="AE1198" s="117">
        <f t="shared" ca="1" si="100"/>
        <v>45945</v>
      </c>
      <c r="AF1198" s="117">
        <f t="shared" ca="1" si="100"/>
        <v>45946</v>
      </c>
      <c r="AG1198" s="117">
        <f t="shared" ca="1" si="100"/>
        <v>45947</v>
      </c>
      <c r="AH1198" s="117">
        <f t="shared" ca="1" si="100"/>
        <v>45950</v>
      </c>
      <c r="AI1198" s="117">
        <f t="shared" ca="1" si="100"/>
        <v>45951</v>
      </c>
      <c r="AJ1198" s="117">
        <f t="shared" ca="1" si="100"/>
        <v>45952</v>
      </c>
      <c r="AK1198" s="117">
        <f t="shared" ca="1" si="100"/>
        <v>45953</v>
      </c>
      <c r="AL1198" s="117">
        <f t="shared" ca="1" si="100"/>
        <v>45954</v>
      </c>
      <c r="AM1198" s="117">
        <f t="shared" ca="1" si="100"/>
        <v>45957</v>
      </c>
      <c r="AN1198" s="117">
        <f t="shared" ca="1" si="100"/>
        <v>45958</v>
      </c>
      <c r="AO1198" s="117">
        <f t="shared" ca="1" si="100"/>
        <v>45959</v>
      </c>
      <c r="AP1198" s="117">
        <f t="shared" ca="1" si="100"/>
        <v>45960</v>
      </c>
      <c r="AQ1198" s="117">
        <f t="shared" ca="1" si="100"/>
        <v>45961</v>
      </c>
      <c r="AR1198" s="117">
        <f t="shared" ca="1" si="100"/>
        <v>45964</v>
      </c>
      <c r="AS1198" s="117">
        <f t="shared" ca="1" si="100"/>
        <v>45965</v>
      </c>
      <c r="AT1198" s="117">
        <f t="shared" ca="1" si="100"/>
        <v>45966</v>
      </c>
      <c r="AU1198" s="117">
        <f t="shared" ca="1" si="100"/>
        <v>45967</v>
      </c>
      <c r="AV1198" s="117">
        <f t="shared" ca="1" si="100"/>
        <v>45968</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[1]ExtEntry!$R3</f>
        <v>1.1053999999999999</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3895.4000000000005</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[1]ExtEntry!$R4</f>
        <v>2.3993000000000002</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-38.950000000000017</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[1]ExtEntry!$R5</f>
        <v>1.6443000000000001</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-89.999999999999858</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[1]ExtEntry!$R6</f>
        <v>1.3611</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59079.999999999985</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[1]ExtEntry!$R7</f>
        <v>0.95709999999999995</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-2250.0000000000005</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[1]ExtEntry!$R8</f>
        <v>2.1183000000000001</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11379.999999999996</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[1]ExtEntry!$R9</f>
        <v>1.2213000000000001</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3308.5499999999993</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[1]ExtEntry!$R10</f>
        <v>0.33260000000000001</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7357.5000000000018</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[1]ExtEntry!$R11</f>
        <v>1.7018</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3809.9999999999986</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[1]ExtEntry!$R12</f>
        <v>6.0999999999999999E-2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-127776.24999999999</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[1]ExtEntry!$R13</f>
        <v>1.1934</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-41.00000000000108</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[1]ExtEntry!$R14</f>
        <v>0.872</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3724.9999999999945</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[1]ExtEntry!$R15</f>
        <v>0.47870000000000001</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22.783810000000003</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[1]ExtEntry!$R16</f>
        <v>1.9112</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6300.0000000000036</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[1]ExtEntry!$R17</f>
        <v>1.4843999999999999</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-4133.9999999999918</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[1]ExtEntry!$R18</f>
        <v>0.79359999999999997</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-6600.0000000000018</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[1]ExtEntry!$R19</f>
        <v>0.98299999999999998</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6502.9999999999945</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[1]ExtEntry!$R20</f>
        <v>1.0882000000000001</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-5219.9999999999991</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[1]ExtEntry!$R21</f>
        <v>0.85299999999999998</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939.25000000001853</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[1]ExtEntry!$R23</f>
        <v>1.3052999999999999</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239.83999999999995</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[1]ExtEntry!$R24</f>
        <v>1.3432999999999999</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1385.9999999999993</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[1]ExtEntry!$R25</f>
        <v>1.2271000000000001</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-1315.0000000000014</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[1]ExtEntry!$R26</f>
        <v>2.3001999999999998</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23437.599999999995</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[1]ExtEntry!$R27</f>
        <v>0.58130000000000004</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2430.0000000000068</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[1]ExtEntry!$R28</f>
        <v>0.65920000000000001</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[1]ExtEntry!$R29</f>
        <v>1.3963000000000001</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54.166999999999994</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[1]ExtEntry!$R30</f>
        <v>1.1258999999999999</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-50475.000000000007</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[1]ExtEntry!$R31</f>
        <v>1.0716000000000001</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-2430.0000000000068</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[1]ExtEntry!$R32</f>
        <v>0.73170000000000002</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12.70955699999999</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[1]ExtEntry!$R33</f>
        <v>0.43559999999999999</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8939.9999999999982</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[1]ExtEntry!$R34</f>
        <v>1.7001999999999999</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1184.9999999999454</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[1]ExtEntry!$R35</f>
        <v>0.59709999999999996</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-5875.0000000000009</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[1]ExtEntry!$R36</f>
        <v>1.1608000000000001</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-1500.1499999999944</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[1]ExtEntry!$R37</f>
        <v>0.19359999999999999</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2939.9999999999977</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[1]ExtEntry!$R38</f>
        <v>0.50170000000000003</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624.75000000000057</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[1]ExtEntry!$R39</f>
        <v>1.5435000000000001</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-3216.2129999999997</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[1]ExtEntry!$R40</f>
        <v>1.1234999999999999</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6980.0000000000036</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[1]ExtEntry!$R41</f>
        <v>0.47949999999999998</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726.99999999999977</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[1]ExtEntry!$R42</f>
        <v>1.0488</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-8349.9999999999945</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[1]ExtEntry!$R43</f>
        <v>1.2955000000000001</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-1342.3199999999995</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[1]ExtEntry!$R44</f>
        <v>1.4815</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630.0000000000025</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[1]ExtEntry!$R45</f>
        <v>1.8709</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93.519999999999982</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[1]ExtEntry!$R46</f>
        <v>1.3138000000000001</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-441.9999999999618</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[1]ExtEntry!$R47</f>
        <v>1.0959000000000001</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-3059.244999999999</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[1]ExtEntry!$R48</f>
        <v>1.4749000000000001</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-19787.725000000002</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[1]ExtEntry!$R49</f>
        <v>0.89739999999999998</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-875.25000000000114</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[1]ExtEntry!$R50</f>
        <v>0.84019999999999995</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-300.00000000001137</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[1]ExtEntry!$R51</f>
        <v>0.83550000000000002</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3074.9999999999923</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[1]ExtEntry!$R53</f>
        <v>0.38119999999999998</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-29.999999999998295</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[1]ExtEntry!$R54</f>
        <v>1.135</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-307.50000000000279</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[1]ExtEntry!$R55</f>
        <v>0.95709999999999995</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-3565.7300000000005</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[1]ExtEntry!$R56</f>
        <v>1.9112</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-2250.0000000000009</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[1]ExtEntry!$R57</f>
        <v>0.79359999999999997</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-10319.999999999998</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[1]ExtEntry!$R58</f>
        <v>0.85299999999999998</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50.45</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[1]ExtEntry!$R59</f>
        <v>0.82989999999999997</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23775.999999999996</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[1]ExtEntry!$R61</f>
        <v>1.3861000000000001</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619.9999999999975</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[1]ExtEntry!$R62</f>
        <v>0.2382</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-555.00000000000148</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[1]ExtEntry!$R63</f>
        <v>0.47949999999999998</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9.8149999999999977</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[1]ExtEntry!$R64</f>
        <v>1.0488</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-7050</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[1]ExtEntry!$R65</f>
        <v>1.0959000000000001</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-348.07499999999987</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[1]ExtEntry!$R66</f>
        <v>1.1053999999999999</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20067.13</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[1]ExtEntry!$R67</f>
        <v>1.3611</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15655.000000000002</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[1]ExtEntry!$R68</f>
        <v>2.1183000000000001</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19298.299999999996</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[1]ExtEntry!$R69</f>
        <v>1.9112</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6216.0000000000009</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[1]ExtEntry!$R70</f>
        <v>1.4843999999999999</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-1192.5</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[1]ExtEntry!$R71</f>
        <v>1.3052999999999999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[1]ExtEntry!$R72</f>
        <v>2.3001999999999998</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[1]ExtEntry!$R73</f>
        <v>1.1258999999999999</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-42862.800000000017</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[1]ExtEntry!$R74</f>
        <v>1.8828</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23116.000000000004</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[1]ExtEntry!$R75</f>
        <v>0.82989999999999997</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10630.620000000012</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[1]ExtEntry!$R76</f>
        <v>2.2387999999999999</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4077.9999999999973</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[1]ExtEntry!$R77</f>
        <v>1.5939000000000001</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[1]ExtEntry!$R78</f>
        <v>1.3861000000000001</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[1]ExtEntry!$R79</f>
        <v>1.8205</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-8561.9999999999982</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[1]ExtEntry!$R80</f>
        <v>1.3469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[1]ExtEntry!$R81</f>
        <v>1.4366000000000001</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-50116.165000000001</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[1]ExtEntry!$R82</f>
        <v>1.1620999999999999</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2001.1200000000044</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[1]ExtEntry!$R83</f>
        <v>0.8629</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-1459.0000000000032</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[1]ExtEntry!$R84</f>
        <v>2.3031999999999999</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-10529.099999999997</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[1]ExtEntry!$R85</f>
        <v>0.50970000000000004</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[1]ExtEntry!$R86</f>
        <v>0.2382</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503.99999999999989</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[1]ExtEntry!$R87</f>
        <v>0.40039999999999998</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-6050.6999999999989</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[1]ExtEntry!$R88</f>
        <v>0.41820000000000002</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-904.00000000000205</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[1]ExtEntry!$R89</f>
        <v>1.4028</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7540.0000000000009</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[1]ExtEntry!$R90</f>
        <v>0.47449999999999998</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[1]ExtEntry!$R91</f>
        <v>2.6457000000000002</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-6852.0000000000009</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[1]ExtEntry!$R92</f>
        <v>1.4489000000000001</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1081.4999999999968</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[1]ExtEntry!$R94</f>
        <v>0.57769999999999999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372701.39999999997</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[1]ExtEntry!$R95</f>
        <v>2.1183000000000001</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29411.999999999989</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[1]ExtEntry!$R96</f>
        <v>0.85299999999999998</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6425.0000000000009</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5140.0000000000091</v>
      </c>
      <c r="AC1296" s="93" cm="1">
        <f t="array" aca="1" ref="AC1296" ca="1">_xlfn.XLOOKUP(DataShiftChartTicker,ListTickers,Tab2ReBuy[RevBuy1])</f>
        <v>5890.0000000000091</v>
      </c>
      <c r="AD1296" s="93" cm="1">
        <f t="array" aca="1" ref="AD1296" ca="1">_xlfn.XLOOKUP(DataShiftChartTicker,ListTickers,Tab2ReBuy[RevBuy2])</f>
        <v>5720.0000000000045</v>
      </c>
      <c r="AE1296" s="93" cm="1">
        <f t="array" aca="1" ref="AE1296" ca="1">_xlfn.XLOOKUP(DataShiftChartTicker,ListTickers,Tab2ReBuy[RevBuy3])</f>
        <v>5460.0000000000018</v>
      </c>
      <c r="AF1296" s="93" cm="1">
        <f t="array" aca="1" ref="AF1296" ca="1">_xlfn.XLOOKUP(DataShiftChartTicker,ListTickers,Tab2ReBuy[RevBuy4])</f>
        <v>2820.0000000000045</v>
      </c>
      <c r="AG1296" s="93" cm="1">
        <f t="array" aca="1" ref="AG1296" ca="1">_xlfn.XLOOKUP(DataShiftChartTicker,ListTickers,Tab2ReBuy[RevBuy5])</f>
        <v>1580.0000000000068</v>
      </c>
      <c r="AH1296" s="93" cm="1">
        <f t="array" aca="1" ref="AH1296" ca="1">_xlfn.XLOOKUP(DataShiftChartTicker,ListTickers,Tab2ReBuy[RevBuy6])</f>
        <v>-1309.9000000000046</v>
      </c>
      <c r="AI1296" s="93" cm="1">
        <f t="array" aca="1" ref="AI1296" ca="1">_xlfn.XLOOKUP(DataShiftChartTicker,ListTickers,Tab2ReBuy[RevBuy7])</f>
        <v>-3639.9</v>
      </c>
      <c r="AJ1296" s="93" cm="1">
        <f t="array" aca="1" ref="AJ1296" ca="1">_xlfn.XLOOKUP(DataShiftChartTicker,ListTickers,Tab2ReBuy[RevBuy8])</f>
        <v>-2719.8999999999955</v>
      </c>
      <c r="AK1296" s="93" cm="1">
        <f t="array" aca="1" ref="AK1296" ca="1">_xlfn.XLOOKUP(DataShiftChartTicker,ListTickers,Tab2ReBuy[RevBuy9])</f>
        <v>-749.90000000000236</v>
      </c>
      <c r="AL1296" s="93" cm="1">
        <f t="array" aca="1" ref="AL1296" ca="1">_xlfn.XLOOKUP(DataShiftChartTicker,ListTickers,Tab2ReBuy[RevBuy10])</f>
        <v>-749.90000000000236</v>
      </c>
      <c r="AM1296" s="93" cm="1">
        <f t="array" aca="1" ref="AM1296" ca="1">_xlfn.XLOOKUP(DataShiftChartTicker,ListTickers,Tab2ReBuy[RevBuy11])</f>
        <v>-2509.9000000000046</v>
      </c>
      <c r="AN1296" s="93" cm="1">
        <f t="array" aca="1" ref="AN1296" ca="1">_xlfn.XLOOKUP(DataShiftChartTicker,ListTickers,Tab2ReBuy[RevBuy12])</f>
        <v>35.000000000002274</v>
      </c>
      <c r="AO1296" s="93" cm="1">
        <f t="array" aca="1" ref="AO1296" ca="1">_xlfn.XLOOKUP(DataShiftChartTicker,ListTickers,Tab2ReBuy[RevBuy13])</f>
        <v>214.99999999999773</v>
      </c>
      <c r="AP1296" s="93" cm="1">
        <f t="array" aca="1" ref="AP1296" ca="1">_xlfn.XLOOKUP(DataShiftChartTicker,ListTickers,Tab2ReBuy[RevBuy14])</f>
        <v>285.00000000000227</v>
      </c>
      <c r="AQ1296" s="93" cm="1">
        <f t="array" aca="1" ref="AQ1296" ca="1">_xlfn.XLOOKUP(DataShiftChartTicker,ListTickers,Tab2ReBuy[RevBuy15])</f>
        <v>-2725</v>
      </c>
      <c r="AR1296" s="93" cm="1">
        <f t="array" aca="1" ref="AR1296" ca="1">_xlfn.XLOOKUP(DataShiftChartTicker,ListTickers,Tab2ReBuy[RevBuy16])</f>
        <v>-775</v>
      </c>
      <c r="AS1296" s="93" cm="1">
        <f t="array" aca="1" ref="AS1296" ca="1">_xlfn.XLOOKUP(DataShiftChartTicker,ListTickers,Tab2ReBuy[RevBuy17])</f>
        <v>364.99999999999773</v>
      </c>
      <c r="AT1296" s="93" cm="1">
        <f t="array" aca="1" ref="AT1296" ca="1">_xlfn.XLOOKUP(DataShiftChartTicker,ListTickers,Tab2ReBuy[RevBuy18])</f>
        <v>1495.0000000000045</v>
      </c>
      <c r="AU1296" s="93" cm="1">
        <f t="array" aca="1" ref="AU1296" ca="1">_xlfn.XLOOKUP(DataShiftChartTicker,ListTickers,Tab2ReBuy[RevBuy19])</f>
        <v>3945.0000000000045</v>
      </c>
      <c r="AV1296" s="93" cm="1">
        <f t="array" aca="1" ref="AV1296" ca="1">_xlfn.XLOOKUP(DataShiftChartTicker,ListTickers,Tab2ReBuy[RevBuy20])</f>
        <v>3945.0000000000045</v>
      </c>
      <c r="AX1296" s="88"/>
    </row>
    <row r="1297" spans="1:50" ht="23" customHeight="1" x14ac:dyDescent="0.3">
      <c r="A1297" s="88"/>
      <c r="F1297" s="117">
        <f t="shared" ref="F1297:Z1297" ca="1" si="104">F1198</f>
        <v>45940</v>
      </c>
      <c r="G1297" s="117">
        <f t="shared" ca="1" si="104"/>
        <v>45943</v>
      </c>
      <c r="H1297" s="117">
        <f t="shared" ca="1" si="104"/>
        <v>45944</v>
      </c>
      <c r="I1297" s="117">
        <f t="shared" ca="1" si="104"/>
        <v>45945</v>
      </c>
      <c r="J1297" s="117">
        <f t="shared" ca="1" si="104"/>
        <v>45946</v>
      </c>
      <c r="K1297" s="117">
        <f t="shared" ca="1" si="104"/>
        <v>45947</v>
      </c>
      <c r="L1297" s="117">
        <f t="shared" ca="1" si="104"/>
        <v>45950</v>
      </c>
      <c r="M1297" s="117">
        <f t="shared" ca="1" si="104"/>
        <v>45951</v>
      </c>
      <c r="N1297" s="117">
        <f t="shared" ca="1" si="104"/>
        <v>45952</v>
      </c>
      <c r="O1297" s="117">
        <f t="shared" ca="1" si="104"/>
        <v>45953</v>
      </c>
      <c r="P1297" s="117">
        <f t="shared" ca="1" si="104"/>
        <v>45954</v>
      </c>
      <c r="Q1297" s="117">
        <f t="shared" ca="1" si="104"/>
        <v>45957</v>
      </c>
      <c r="R1297" s="117">
        <f t="shared" ca="1" si="104"/>
        <v>45958</v>
      </c>
      <c r="S1297" s="117">
        <f t="shared" ca="1" si="104"/>
        <v>45959</v>
      </c>
      <c r="T1297" s="117">
        <f t="shared" ca="1" si="104"/>
        <v>45960</v>
      </c>
      <c r="U1297" s="117">
        <f t="shared" ca="1" si="104"/>
        <v>45961</v>
      </c>
      <c r="V1297" s="117">
        <f t="shared" ca="1" si="104"/>
        <v>45964</v>
      </c>
      <c r="W1297" s="117">
        <f t="shared" ca="1" si="104"/>
        <v>45965</v>
      </c>
      <c r="X1297" s="117">
        <f t="shared" ca="1" si="104"/>
        <v>45966</v>
      </c>
      <c r="Y1297" s="117">
        <f t="shared" ca="1" si="104"/>
        <v>45967</v>
      </c>
      <c r="Z1297" s="117">
        <f t="shared" ca="1" si="104"/>
        <v>45968</v>
      </c>
      <c r="AB1297" s="117">
        <f t="shared" ref="AB1297:AV1297" ca="1" si="105">F1198</f>
        <v>45940</v>
      </c>
      <c r="AC1297" s="117">
        <f t="shared" ca="1" si="105"/>
        <v>45943</v>
      </c>
      <c r="AD1297" s="117">
        <f t="shared" ca="1" si="105"/>
        <v>45944</v>
      </c>
      <c r="AE1297" s="117">
        <f t="shared" ca="1" si="105"/>
        <v>45945</v>
      </c>
      <c r="AF1297" s="117">
        <f t="shared" ca="1" si="105"/>
        <v>45946</v>
      </c>
      <c r="AG1297" s="117">
        <f t="shared" ca="1" si="105"/>
        <v>45947</v>
      </c>
      <c r="AH1297" s="117">
        <f t="shared" ca="1" si="105"/>
        <v>45950</v>
      </c>
      <c r="AI1297" s="117">
        <f t="shared" ca="1" si="105"/>
        <v>45951</v>
      </c>
      <c r="AJ1297" s="117">
        <f t="shared" ca="1" si="105"/>
        <v>45952</v>
      </c>
      <c r="AK1297" s="117">
        <f t="shared" ca="1" si="105"/>
        <v>45953</v>
      </c>
      <c r="AL1297" s="117">
        <f t="shared" ca="1" si="105"/>
        <v>45954</v>
      </c>
      <c r="AM1297" s="117">
        <f t="shared" ca="1" si="105"/>
        <v>45957</v>
      </c>
      <c r="AN1297" s="117">
        <f t="shared" ca="1" si="105"/>
        <v>45958</v>
      </c>
      <c r="AO1297" s="117">
        <f t="shared" ca="1" si="105"/>
        <v>45959</v>
      </c>
      <c r="AP1297" s="117">
        <f t="shared" ca="1" si="105"/>
        <v>45960</v>
      </c>
      <c r="AQ1297" s="117">
        <f t="shared" ca="1" si="105"/>
        <v>45961</v>
      </c>
      <c r="AR1297" s="117">
        <f t="shared" ca="1" si="105"/>
        <v>45964</v>
      </c>
      <c r="AS1297" s="117">
        <f t="shared" ca="1" si="105"/>
        <v>45965</v>
      </c>
      <c r="AT1297" s="117">
        <f t="shared" ca="1" si="105"/>
        <v>45966</v>
      </c>
      <c r="AU1297" s="117">
        <f t="shared" ca="1" si="105"/>
        <v>45967</v>
      </c>
      <c r="AV1297" s="117">
        <f t="shared" ca="1" si="105"/>
        <v>45968</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1021.5000000000032</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2814.9999999999995</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1461.9999999999991</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-4609.0000000000036</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3945.0000000000045</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-207.20000000000255</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832.49999999999602</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-809.40000000000009</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-298.77499999999964</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-1584.9999999999936</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-1034.5950000000003</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9249.9999999999982</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6919.9999999999927</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11600.000000000002</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1400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183.99999999999181</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28580</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48.000000000001819</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-22796.729999999992</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1296.0000000000043</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2725.0000000000014</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110000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2762.0000000000005</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-4.9999999999954525</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-6510</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-3648.1499999999996</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95572.5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3943.4999999999945</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-734.15999999999565</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-3759.9999999999909</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13430.999999999995</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2290.2999999999984</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-629.99999999999898</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9250.25</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2645.28</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3799.9999999999973</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-30559.999999999993</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4430.0000000000009</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1169.1999999999998</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9922.5998999999974</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-22.40999999999957</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900</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5529.5694999999987</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1331.7499999999995</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60.900000000000119</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-24.999999999995026</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-18035.999999999993</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28450.800000000007</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6475</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16669.999999999996</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-10599.55</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-3248.0000000000045</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-7170.0000000000018</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-503.99999999999989</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-38190.44999999999</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25915.000000000007</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8505.84</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-1199.550000000002</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-11454.999999999998</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-11372.399999999994</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10285</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4039.1999999999985</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-44053.19999999999</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-64279.999999999971</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19914.999999999996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3841.199999999998</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-360.00000000000477</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2420.0000000000045</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-3555.0000000000014</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-47080</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7477.9999999999973</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-15345.500000000004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1537.829999999994</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4138</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29739.999999999996</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-9375.8000000000029</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-4270</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10670.699999999997</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11109.672</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-24.999999999999467</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-7854.99999999999</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-8519.9999999999964</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-305.00000000000682</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-12779.999999999973</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18000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45.000000000001705</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45940</v>
      </c>
      <c r="G1396" s="117">
        <f t="shared" ca="1" si="110"/>
        <v>45943</v>
      </c>
      <c r="H1396" s="117">
        <f t="shared" ca="1" si="110"/>
        <v>45944</v>
      </c>
      <c r="I1396" s="117">
        <f t="shared" ca="1" si="110"/>
        <v>45945</v>
      </c>
      <c r="J1396" s="117">
        <f t="shared" ca="1" si="110"/>
        <v>45946</v>
      </c>
      <c r="K1396" s="117">
        <f t="shared" ca="1" si="110"/>
        <v>45947</v>
      </c>
      <c r="L1396" s="117">
        <f t="shared" ca="1" si="110"/>
        <v>45950</v>
      </c>
      <c r="M1396" s="117">
        <f t="shared" ca="1" si="110"/>
        <v>45951</v>
      </c>
      <c r="N1396" s="117">
        <f t="shared" ca="1" si="110"/>
        <v>45952</v>
      </c>
      <c r="O1396" s="117">
        <f t="shared" ca="1" si="110"/>
        <v>45953</v>
      </c>
      <c r="P1396" s="117">
        <f t="shared" ca="1" si="110"/>
        <v>45954</v>
      </c>
      <c r="Q1396" s="117">
        <f t="shared" ca="1" si="110"/>
        <v>45957</v>
      </c>
      <c r="R1396" s="117">
        <f t="shared" ca="1" si="110"/>
        <v>45958</v>
      </c>
      <c r="S1396" s="117">
        <f t="shared" ca="1" si="110"/>
        <v>45959</v>
      </c>
      <c r="T1396" s="117">
        <f t="shared" ca="1" si="110"/>
        <v>45960</v>
      </c>
      <c r="U1396" s="117">
        <f t="shared" ca="1" si="110"/>
        <v>45961</v>
      </c>
      <c r="V1396" s="117">
        <f t="shared" ca="1" si="110"/>
        <v>45964</v>
      </c>
      <c r="W1396" s="117">
        <f t="shared" ca="1" si="110"/>
        <v>45965</v>
      </c>
      <c r="X1396" s="117">
        <f t="shared" ca="1" si="110"/>
        <v>45966</v>
      </c>
      <c r="Y1396" s="117">
        <f t="shared" ca="1" si="110"/>
        <v>45967</v>
      </c>
      <c r="Z1396" s="117">
        <f t="shared" ca="1" si="110"/>
        <v>45968</v>
      </c>
      <c r="AB1396" s="117">
        <f t="shared" ref="AB1396:AV1396" ca="1" si="111">F1297</f>
        <v>45940</v>
      </c>
      <c r="AC1396" s="117">
        <f t="shared" ca="1" si="111"/>
        <v>45943</v>
      </c>
      <c r="AD1396" s="117">
        <f t="shared" ca="1" si="111"/>
        <v>45944</v>
      </c>
      <c r="AE1396" s="117">
        <f t="shared" ca="1" si="111"/>
        <v>45945</v>
      </c>
      <c r="AF1396" s="117">
        <f t="shared" ca="1" si="111"/>
        <v>45946</v>
      </c>
      <c r="AG1396" s="117">
        <f t="shared" ca="1" si="111"/>
        <v>45947</v>
      </c>
      <c r="AH1396" s="117">
        <f t="shared" ca="1" si="111"/>
        <v>45950</v>
      </c>
      <c r="AI1396" s="117">
        <f t="shared" ca="1" si="111"/>
        <v>45951</v>
      </c>
      <c r="AJ1396" s="117">
        <f t="shared" ca="1" si="111"/>
        <v>45952</v>
      </c>
      <c r="AK1396" s="117">
        <f t="shared" ca="1" si="111"/>
        <v>45953</v>
      </c>
      <c r="AL1396" s="117">
        <f t="shared" ca="1" si="111"/>
        <v>45954</v>
      </c>
      <c r="AM1396" s="117">
        <f t="shared" ca="1" si="111"/>
        <v>45957</v>
      </c>
      <c r="AN1396" s="117">
        <f t="shared" ca="1" si="111"/>
        <v>45958</v>
      </c>
      <c r="AO1396" s="117">
        <f t="shared" ca="1" si="111"/>
        <v>45959</v>
      </c>
      <c r="AP1396" s="117">
        <f t="shared" ca="1" si="111"/>
        <v>45960</v>
      </c>
      <c r="AQ1396" s="117">
        <f t="shared" ca="1" si="111"/>
        <v>45961</v>
      </c>
      <c r="AR1396" s="117">
        <f t="shared" ca="1" si="111"/>
        <v>45964</v>
      </c>
      <c r="AS1396" s="117">
        <f t="shared" ca="1" si="111"/>
        <v>45965</v>
      </c>
      <c r="AT1396" s="117">
        <f t="shared" ca="1" si="111"/>
        <v>45966</v>
      </c>
      <c r="AU1396" s="117">
        <f t="shared" ca="1" si="111"/>
        <v>45967</v>
      </c>
      <c r="AV1396" s="117">
        <f t="shared" ca="1" si="111"/>
        <v>45968</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[1]ExtEntry!$R3</f>
        <v>1.1053999999999999</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1205986.5</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[1]ExtEntry!$R4</f>
        <v>2.3993000000000002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[1]ExtEntry!$R5</f>
        <v>1.6443000000000001</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187740</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[1]ExtEntry!$R6</f>
        <v>1.3611</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978240</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[1]ExtEntry!$R7</f>
        <v>0.95709999999999995</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63921</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[1]ExtEntry!$R8</f>
        <v>2.1183000000000001</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2264080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[1]ExtEntry!$R9</f>
        <v>1.2213000000000001</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72950.849999999991</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[1]ExtEntry!$R10</f>
        <v>0.33260000000000001</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[1]ExtEntry!$R11</f>
        <v>1.7018</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34850</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[1]ExtEntry!$R12</f>
        <v>6.0999999999999999E-2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[1]ExtEntry!$R13</f>
        <v>1.1934</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502.59999999999997</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[1]ExtEntry!$R14</f>
        <v>0.872</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[1]ExtEntry!$R15</f>
        <v>0.47870000000000001</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[1]ExtEntry!$R16</f>
        <v>1.9112</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100125</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[1]ExtEntry!$R17</f>
        <v>1.4843999999999999</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71974.5</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[1]ExtEntry!$R18</f>
        <v>0.79359999999999997</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87525</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[1]ExtEntry!$R19</f>
        <v>0.98299999999999998</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49330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[1]ExtEntry!$R20</f>
        <v>1.0882000000000001</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54162.425000000003</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[1]ExtEntry!$R21</f>
        <v>0.85299999999999998</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[1]ExtEntry!$R23</f>
        <v>1.3052999999999999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[1]ExtEntry!$R24</f>
        <v>1.3432999999999999</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[1]ExtEntry!$R25</f>
        <v>1.2271000000000001</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104860</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[1]ExtEntry!$R26</f>
        <v>2.3001999999999998</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[1]ExtEntry!$R27</f>
        <v>0.58130000000000004</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64905</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[1]ExtEntry!$R28</f>
        <v>0.65920000000000001</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[1]ExtEntry!$R29</f>
        <v>1.3963000000000001</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[1]ExtEntry!$R30</f>
        <v>1.1258999999999999</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289395</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[1]ExtEntry!$R31</f>
        <v>1.0716000000000001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[1]ExtEntry!$R32</f>
        <v>0.73170000000000002</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[1]ExtEntry!$R33</f>
        <v>0.43559999999999999</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416750</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[1]ExtEntry!$R34</f>
        <v>1.7001999999999999</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[1]ExtEntry!$R35</f>
        <v>0.59709999999999996</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[1]ExtEntry!$R36</f>
        <v>1.1608000000000001</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34719.9</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[1]ExtEntry!$R37</f>
        <v>0.19359999999999999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[1]ExtEntry!$R38</f>
        <v>0.50170000000000003</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[1]ExtEntry!$R39</f>
        <v>1.5435000000000001</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4620</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[1]ExtEntry!$R40</f>
        <v>1.1234999999999999</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[1]ExtEntry!$R41</f>
        <v>0.47949999999999998</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[1]ExtEntry!$R42</f>
        <v>1.0488</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495995</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[1]ExtEntry!$R43</f>
        <v>1.2955000000000001</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183625</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[1]ExtEntry!$R44</f>
        <v>1.4815</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[1]ExtEntry!$R45</f>
        <v>1.8709</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[1]ExtEntry!$R46</f>
        <v>1.3138000000000001</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714625</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[1]ExtEntry!$R47</f>
        <v>1.0959000000000001</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65550</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[1]ExtEntry!$R48</f>
        <v>1.4749000000000001</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34367.775000000001</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[1]ExtEntry!$R49</f>
        <v>0.89739999999999998</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[1]ExtEntry!$R50</f>
        <v>0.84019999999999995</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[1]ExtEntry!$R51</f>
        <v>0.83550000000000002</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[1]ExtEntry!$R53</f>
        <v>0.38119999999999998</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35217</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[1]ExtEntry!$R54</f>
        <v>1.135</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60706.2</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[1]ExtEntry!$R55</f>
        <v>0.95709999999999995</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85775.82</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[1]ExtEntry!$R56</f>
        <v>1.9112</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[1]ExtEntry!$R57</f>
        <v>0.79359999999999997</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233400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[1]ExtEntry!$R58</f>
        <v>0.85299999999999998</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[1]ExtEntry!$R59</f>
        <v>0.82989999999999997</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414232</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[1]ExtEntry!$R61</f>
        <v>1.3861000000000001</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[1]ExtEntry!$R62</f>
        <v>0.2382</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177062.5</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[1]ExtEntry!$R63</f>
        <v>0.47949999999999998</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[1]ExtEntry!$R64</f>
        <v>1.0488</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[1]ExtEntry!$R65</f>
        <v>1.0959000000000001</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14677.5</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[1]ExtEntry!$R66</f>
        <v>1.1053999999999999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[1]ExtEntry!$R67</f>
        <v>1.3611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[1]ExtEntry!$R68</f>
        <v>2.1183000000000001</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78372</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[1]ExtEntry!$R69</f>
        <v>1.9112</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242858.75</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[1]ExtEntry!$R70</f>
        <v>1.4843999999999999</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[1]ExtEntry!$R71</f>
        <v>1.3052999999999999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[1]ExtEntry!$R72</f>
        <v>2.3001999999999998</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[1]ExtEntry!$R73</f>
        <v>1.1258999999999999</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110362.5</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[1]ExtEntry!$R74</f>
        <v>1.8828</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143091</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[1]ExtEntry!$R75</f>
        <v>0.82989999999999997</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154540.4</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[1]ExtEntry!$R76</f>
        <v>2.2387999999999999</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49779.840000000004</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[1]ExtEntry!$R77</f>
        <v>1.5939000000000001</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[1]ExtEntry!$R78</f>
        <v>1.3861000000000001</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[1]ExtEntry!$R79</f>
        <v>1.8205</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54117</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[1]ExtEntry!$R80</f>
        <v>1.3469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[1]ExtEntry!$R81</f>
        <v>1.4366000000000001</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12655.425000000001</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[1]ExtEntry!$R82</f>
        <v>1.1620999999999999</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[1]ExtEntry!$R83</f>
        <v>0.8629</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[1]ExtEntry!$R84</f>
        <v>2.3031999999999999</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28154.2</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[1]ExtEntry!$R85</f>
        <v>0.50970000000000004</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[1]ExtEntry!$R86</f>
        <v>0.2382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[1]ExtEntry!$R87</f>
        <v>0.40039999999999998</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119448.97</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[1]ExtEntry!$R88</f>
        <v>0.41820000000000002</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7312.5</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[1]ExtEntry!$R89</f>
        <v>1.4028</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142560</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[1]ExtEntry!$R90</f>
        <v>0.47449999999999998</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[1]ExtEntry!$R91</f>
        <v>2.6457000000000002</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9828</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[1]ExtEntry!$R92</f>
        <v>1.4489000000000001</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[1]ExtEntry!$R94</f>
        <v>0.57769999999999999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[1]ExtEntry!$R95</f>
        <v>2.1183000000000001</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[1]ExtEntry!$R96</f>
        <v>0.85299999999999998</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45940</v>
      </c>
      <c r="G1495" s="117">
        <f t="shared" ref="G1495:Z1495" ca="1" si="116">G1396</f>
        <v>45943</v>
      </c>
      <c r="H1495" s="117">
        <f t="shared" ca="1" si="116"/>
        <v>45944</v>
      </c>
      <c r="I1495" s="117">
        <f t="shared" ca="1" si="116"/>
        <v>45945</v>
      </c>
      <c r="J1495" s="117">
        <f t="shared" ca="1" si="116"/>
        <v>45946</v>
      </c>
      <c r="K1495" s="117">
        <f t="shared" ca="1" si="116"/>
        <v>45947</v>
      </c>
      <c r="L1495" s="117">
        <f t="shared" ca="1" si="116"/>
        <v>45950</v>
      </c>
      <c r="M1495" s="117">
        <f t="shared" ca="1" si="116"/>
        <v>45951</v>
      </c>
      <c r="N1495" s="117">
        <f t="shared" ca="1" si="116"/>
        <v>45952</v>
      </c>
      <c r="O1495" s="117">
        <f t="shared" ca="1" si="116"/>
        <v>45953</v>
      </c>
      <c r="P1495" s="117">
        <f t="shared" ca="1" si="116"/>
        <v>45954</v>
      </c>
      <c r="Q1495" s="117">
        <f t="shared" ca="1" si="116"/>
        <v>45957</v>
      </c>
      <c r="R1495" s="117">
        <f t="shared" ca="1" si="116"/>
        <v>45958</v>
      </c>
      <c r="S1495" s="117">
        <f t="shared" ca="1" si="116"/>
        <v>45959</v>
      </c>
      <c r="T1495" s="117">
        <f t="shared" ca="1" si="116"/>
        <v>45960</v>
      </c>
      <c r="U1495" s="117">
        <f t="shared" ca="1" si="116"/>
        <v>45961</v>
      </c>
      <c r="V1495" s="117">
        <f t="shared" ca="1" si="116"/>
        <v>45964</v>
      </c>
      <c r="W1495" s="117">
        <f t="shared" ca="1" si="116"/>
        <v>45965</v>
      </c>
      <c r="X1495" s="117">
        <f t="shared" ca="1" si="116"/>
        <v>45966</v>
      </c>
      <c r="Y1495" s="117">
        <f t="shared" ca="1" si="116"/>
        <v>45967</v>
      </c>
      <c r="Z1495" s="117">
        <f t="shared" ca="1" si="116"/>
        <v>45968</v>
      </c>
      <c r="AB1495" s="117">
        <f t="shared" ref="AB1495:AV1495" ca="1" si="117">F1396</f>
        <v>45940</v>
      </c>
      <c r="AC1495" s="117">
        <f t="shared" ca="1" si="117"/>
        <v>45943</v>
      </c>
      <c r="AD1495" s="117">
        <f t="shared" ca="1" si="117"/>
        <v>45944</v>
      </c>
      <c r="AE1495" s="117">
        <f t="shared" ca="1" si="117"/>
        <v>45945</v>
      </c>
      <c r="AF1495" s="117">
        <f t="shared" ca="1" si="117"/>
        <v>45946</v>
      </c>
      <c r="AG1495" s="117">
        <f t="shared" ca="1" si="117"/>
        <v>45947</v>
      </c>
      <c r="AH1495" s="117">
        <f t="shared" ca="1" si="117"/>
        <v>45950</v>
      </c>
      <c r="AI1495" s="117">
        <f t="shared" ca="1" si="117"/>
        <v>45951</v>
      </c>
      <c r="AJ1495" s="117">
        <f t="shared" ca="1" si="117"/>
        <v>45952</v>
      </c>
      <c r="AK1495" s="117">
        <f t="shared" ca="1" si="117"/>
        <v>45953</v>
      </c>
      <c r="AL1495" s="117">
        <f t="shared" ca="1" si="117"/>
        <v>45954</v>
      </c>
      <c r="AM1495" s="117">
        <f t="shared" ca="1" si="117"/>
        <v>45957</v>
      </c>
      <c r="AN1495" s="117">
        <f t="shared" ca="1" si="117"/>
        <v>45958</v>
      </c>
      <c r="AO1495" s="117">
        <f t="shared" ca="1" si="117"/>
        <v>45959</v>
      </c>
      <c r="AP1495" s="117">
        <f t="shared" ca="1" si="117"/>
        <v>45960</v>
      </c>
      <c r="AQ1495" s="117">
        <f t="shared" ca="1" si="117"/>
        <v>45961</v>
      </c>
      <c r="AR1495" s="117">
        <f t="shared" ca="1" si="117"/>
        <v>45964</v>
      </c>
      <c r="AS1495" s="117">
        <f t="shared" ca="1" si="117"/>
        <v>45965</v>
      </c>
      <c r="AT1495" s="117">
        <f t="shared" ca="1" si="117"/>
        <v>45966</v>
      </c>
      <c r="AU1495" s="117">
        <f t="shared" ca="1" si="117"/>
        <v>45967</v>
      </c>
      <c r="AV1495" s="117">
        <f t="shared" ca="1" si="117"/>
        <v>45968</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-0.33333333333333343</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-1</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9.0909090909090828E-2</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0.14285714285714279</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-0.19999999999999996</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-0.19999999999999996</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-5.1851851851851816E-2</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-1</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-0.28571428571428564</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-0.27272727272727271</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4.3478260869565188E-2</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5.2631578947368363E-2</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0.19999999999999996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0.33333333333333326</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0.19999999999999996</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-0.33333333333333343</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-0.55555555555555558</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-0.38461538461538458</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0</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45940</v>
      </c>
      <c r="AC1594" s="62">
        <f t="shared" ca="1" si="121"/>
        <v>45943</v>
      </c>
      <c r="AD1594" s="62">
        <f t="shared" ca="1" si="121"/>
        <v>45944</v>
      </c>
      <c r="AE1594" s="62">
        <f t="shared" ca="1" si="121"/>
        <v>45945</v>
      </c>
      <c r="AF1594" s="62">
        <f t="shared" ca="1" si="121"/>
        <v>45946</v>
      </c>
      <c r="AG1594" s="62">
        <f t="shared" ca="1" si="121"/>
        <v>45947</v>
      </c>
      <c r="AH1594" s="62">
        <f t="shared" ca="1" si="121"/>
        <v>45950</v>
      </c>
      <c r="AI1594" s="62">
        <f t="shared" ca="1" si="121"/>
        <v>45951</v>
      </c>
      <c r="AJ1594" s="62">
        <f t="shared" ca="1" si="121"/>
        <v>45952</v>
      </c>
      <c r="AK1594" s="62">
        <f t="shared" ca="1" si="121"/>
        <v>45953</v>
      </c>
      <c r="AL1594" s="62">
        <f t="shared" ca="1" si="121"/>
        <v>45954</v>
      </c>
      <c r="AM1594" s="62">
        <f t="shared" ca="1" si="121"/>
        <v>45957</v>
      </c>
      <c r="AN1594" s="62">
        <f t="shared" ca="1" si="121"/>
        <v>45958</v>
      </c>
      <c r="AO1594" s="62">
        <f t="shared" ca="1" si="121"/>
        <v>45959</v>
      </c>
      <c r="AP1594" s="62">
        <f t="shared" ca="1" si="121"/>
        <v>45960</v>
      </c>
      <c r="AQ1594" s="62">
        <f t="shared" ca="1" si="121"/>
        <v>45961</v>
      </c>
      <c r="AR1594" s="62">
        <f t="shared" ca="1" si="121"/>
        <v>45964</v>
      </c>
      <c r="AS1594" s="62">
        <f t="shared" ca="1" si="121"/>
        <v>45965</v>
      </c>
      <c r="AT1594" s="62">
        <f t="shared" ca="1" si="121"/>
        <v>45966</v>
      </c>
      <c r="AU1594" s="62">
        <f t="shared" ca="1" si="121"/>
        <v>45967</v>
      </c>
      <c r="AV1594" s="62">
        <f t="shared" ca="1" si="121"/>
        <v>45968</v>
      </c>
      <c r="AX1594" s="88"/>
    </row>
    <row r="1595" spans="1:50" x14ac:dyDescent="0.3">
      <c r="A1595" s="88"/>
      <c r="F1595" s="62">
        <f t="shared" ref="F1595:Z1595" ca="1" si="122">F1495</f>
        <v>45940</v>
      </c>
      <c r="G1595" s="62">
        <f t="shared" ca="1" si="122"/>
        <v>45943</v>
      </c>
      <c r="H1595" s="62">
        <f t="shared" ca="1" si="122"/>
        <v>45944</v>
      </c>
      <c r="I1595" s="62">
        <f t="shared" ca="1" si="122"/>
        <v>45945</v>
      </c>
      <c r="J1595" s="62">
        <f t="shared" ca="1" si="122"/>
        <v>45946</v>
      </c>
      <c r="K1595" s="62">
        <f t="shared" ca="1" si="122"/>
        <v>45947</v>
      </c>
      <c r="L1595" s="62">
        <f t="shared" ca="1" si="122"/>
        <v>45950</v>
      </c>
      <c r="M1595" s="62">
        <f t="shared" ca="1" si="122"/>
        <v>45951</v>
      </c>
      <c r="N1595" s="62">
        <f t="shared" ca="1" si="122"/>
        <v>45952</v>
      </c>
      <c r="O1595" s="62">
        <f t="shared" ca="1" si="122"/>
        <v>45953</v>
      </c>
      <c r="P1595" s="62">
        <f t="shared" ca="1" si="122"/>
        <v>45954</v>
      </c>
      <c r="Q1595" s="62">
        <f t="shared" ca="1" si="122"/>
        <v>45957</v>
      </c>
      <c r="R1595" s="62">
        <f t="shared" ca="1" si="122"/>
        <v>45958</v>
      </c>
      <c r="S1595" s="62">
        <f t="shared" ca="1" si="122"/>
        <v>45959</v>
      </c>
      <c r="T1595" s="62">
        <f t="shared" ca="1" si="122"/>
        <v>45960</v>
      </c>
      <c r="U1595" s="62">
        <f t="shared" ca="1" si="122"/>
        <v>45961</v>
      </c>
      <c r="V1595" s="62">
        <f t="shared" ca="1" si="122"/>
        <v>45964</v>
      </c>
      <c r="W1595" s="62">
        <f t="shared" ca="1" si="122"/>
        <v>45965</v>
      </c>
      <c r="X1595" s="62">
        <f t="shared" ca="1" si="122"/>
        <v>45966</v>
      </c>
      <c r="Y1595" s="62">
        <f t="shared" ca="1" si="122"/>
        <v>45967</v>
      </c>
      <c r="Z1595" s="62">
        <f t="shared" ca="1" si="122"/>
        <v>45968</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3.3458006891777097</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0.31021093120460586</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10.971913265306119</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16.97</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9.0401117111510398</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5.7801939007943588</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3.4434222222222228</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2.2318856130778273</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11.275371466140697</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9.3258085838050579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9.2472171114085402</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9.9152684426483777</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5.143647029908486</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7.6908595216580187</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10.209383653463501</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5.63015526406656</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8.5808321334958002</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14.376969045108776</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1.6962875339842665</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9.8191449105667061</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10.280479813452523</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-0.65720000000000001</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-6.5719999999999997E-3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45940</v>
      </c>
      <c r="G1710" s="62">
        <f t="shared" ca="1" si="137"/>
        <v>45943</v>
      </c>
      <c r="H1710" s="62">
        <f t="shared" ca="1" si="137"/>
        <v>45944</v>
      </c>
      <c r="I1710" s="62">
        <f t="shared" ca="1" si="137"/>
        <v>45945</v>
      </c>
      <c r="J1710" s="62">
        <f t="shared" ca="1" si="137"/>
        <v>45946</v>
      </c>
      <c r="K1710" s="62">
        <f t="shared" ca="1" si="137"/>
        <v>45947</v>
      </c>
      <c r="L1710" s="62">
        <f t="shared" ca="1" si="137"/>
        <v>45950</v>
      </c>
      <c r="M1710" s="62">
        <f t="shared" ca="1" si="137"/>
        <v>45951</v>
      </c>
      <c r="N1710" s="62">
        <f t="shared" ca="1" si="137"/>
        <v>45952</v>
      </c>
      <c r="O1710" s="62">
        <f t="shared" ca="1" si="137"/>
        <v>45953</v>
      </c>
      <c r="P1710" s="62">
        <f t="shared" ca="1" si="137"/>
        <v>45954</v>
      </c>
      <c r="Q1710" s="62">
        <f t="shared" ca="1" si="137"/>
        <v>45957</v>
      </c>
      <c r="R1710" s="62">
        <f t="shared" ca="1" si="137"/>
        <v>45958</v>
      </c>
      <c r="S1710" s="62">
        <f t="shared" ca="1" si="137"/>
        <v>45959</v>
      </c>
      <c r="T1710" s="62">
        <f t="shared" ca="1" si="137"/>
        <v>45960</v>
      </c>
      <c r="U1710" s="62">
        <f t="shared" ca="1" si="137"/>
        <v>45961</v>
      </c>
      <c r="V1710" s="62">
        <f t="shared" ca="1" si="137"/>
        <v>45964</v>
      </c>
      <c r="W1710" s="62">
        <f t="shared" ca="1" si="137"/>
        <v>45965</v>
      </c>
      <c r="X1710" s="62">
        <f t="shared" ca="1" si="137"/>
        <v>45966</v>
      </c>
      <c r="Y1710" s="62">
        <f t="shared" ca="1" si="137"/>
        <v>45967</v>
      </c>
      <c r="Z1710" s="62">
        <f t="shared" ca="1" si="137"/>
        <v>45968</v>
      </c>
      <c r="AU1710" s="931"/>
      <c r="AV1710" s="1" t="s">
        <v>2320</v>
      </c>
    </row>
    <row r="1711" spans="1:51" ht="23" thickBot="1" x14ac:dyDescent="0.35">
      <c r="B1711" s="1399"/>
      <c r="C1711" s="1166"/>
      <c r="D1711" s="1166" t="s">
        <v>2220</v>
      </c>
      <c r="E1711" s="1400"/>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7">
        <f ca="1">Calc!BB103</f>
        <v>-18101764.431799993</v>
      </c>
      <c r="D1712" s="1398"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28178201.249999996</v>
      </c>
      <c r="AB1712" s="93">
        <f ca="1">Tab1SDataShiftSummary[[#This Row],[Summary0]]-Tab1SDataShiftSummary[[#This Row],[Summary20]]</f>
        <v>-994143.47999999672</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0</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-59637527.234239548</v>
      </c>
      <c r="AB1713" s="93">
        <f ca="1">Tab1SDataShiftSummary[[#This Row],[Summary0]]-Tab1SDataShiftSummary[[#This Row],[Summary20]]</f>
        <v>2525884.4294168949</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0</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-5345307.9085987201</v>
      </c>
      <c r="AB1714" s="93">
        <f ca="1">Tab1SDataShiftSummary[[#This Row],[Summary0]]-Tab1SDataShiftSummary[[#This Row],[Summary20]]</f>
        <v>-1218340.6745741786</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0</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10076436.818200003</v>
      </c>
      <c r="AA1715" s="308"/>
      <c r="AB1715" s="93">
        <f ca="1">Tab1SDataShiftSummary[[#This Row],[Summary0]]-Tab1SDataShiftSummary[[#This Row],[Summary20]]</f>
        <v>-1213106.4614999965</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0</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-77739291.666039556</v>
      </c>
      <c r="AB1716" s="93">
        <f ca="1">Tab1SDataShiftSummary[[#This Row],[Summary0]]-Tab1SDataShiftSummary[[#This Row],[Summary20]]</f>
        <v>2306921.4479168802</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0</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-11325328.202917</v>
      </c>
      <c r="AB1717" s="93">
        <f ca="1">Tab1SDataShiftSummary[[#This Row],[Summary0]]-Tab1SDataShiftSummary[[#This Row],[Summary20]]</f>
        <v>1248173.9515000004</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0</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66040213.309405029</v>
      </c>
      <c r="AB1718" s="93">
        <f ca="1">Tab1SDataShiftSummary[[#This Row],[Summary0]]-Tab1SDataShiftSummary[[#This Row],[Summary20]]</f>
        <v>-1050027.8658570349</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0</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16852873.047083002</v>
      </c>
      <c r="AB1719" s="93">
        <f ca="1">Tab1SDataShiftSummary[[#This Row],[Summary0]]-Tab1SDataShiftSummary[[#This Row],[Summary20]]</f>
        <v>254030.47150000185</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0</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11169925.580890002</v>
      </c>
      <c r="AB1720" s="93">
        <f ca="1">Tab1SDataShiftSummary[[#This Row],[Summary0]]-Tab1SDataShiftSummary[[#This Row],[Summary20]]</f>
        <v>1524156.1790999994</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0</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-373826.71293615591</v>
      </c>
      <c r="AB1721" s="93">
        <f ca="1">Tab1SDataShiftSummary[[#This Row],[Summary0]]-Tab1SDataShiftSummary[[#This Row],[Summary20]]</f>
        <v>8728.068215812149</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0</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6402686.0751654804</v>
      </c>
      <c r="AB1722" s="93">
        <f ca="1">Tab1SDataShiftSummary[[#This Row],[Summary0]]-Tab1SDataShiftSummary[[#This Row],[Summary20]]</f>
        <v>1475856.56355986</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0</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1.8850994162544989</v>
      </c>
      <c r="AB1723" s="308">
        <f ca="1">Tab1SDataShiftSummary[[#This Row],[Summary0]]-Tab1SDataShiftSummary[[#This Row],[Summary20]]</f>
        <v>-0.53473303932463723</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0</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5235971.1100000003</v>
      </c>
      <c r="AB1724" s="93">
        <f ca="1">Tab1SDataShiftSummary[[#This Row],[Summary0]]-Tab1SDataShiftSummary[[#This Row],[Summary20]]</f>
        <v>1361539.9099999992</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0</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20865450.139999997</v>
      </c>
      <c r="AB1725" s="93">
        <f ca="1">Tab1SDataShiftSummary[[#This Row],[Summary0]]-Tab1SDataShiftSummary[[#This Row],[Summary20]]</f>
        <v>-2682623.3899999969</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0</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910780</v>
      </c>
      <c r="AB1726" s="93">
        <f ca="1">Tab1SDataShiftSummary[[#This Row],[Summary0]]-Tab1SDataShiftSummary[[#This Row],[Summary20]]</f>
        <v>633340</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3.1528348479182382</v>
      </c>
      <c r="AB1728" s="308">
        <f ca="1">Tab1SDataShiftSummary[[#This Row],[Summary0]]-Tab1SDataShiftSummary[[#This Row],[Summary20]]</f>
        <v>-0.54652475958723779</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0</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1.4880692855101805</v>
      </c>
      <c r="AB1729" s="308">
        <f ca="1">Tab1SDataShiftSummary[[#This Row],[Summary0]]-Tab1SDataShiftSummary[[#This Row],[Summary20]]</f>
        <v>0.2095234169313358</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0</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2722190.2297</v>
      </c>
      <c r="AB1731" s="93">
        <f ca="1">Tab1SDataShiftSummary[[#This Row],[Summary0]]-Tab1SDataShiftSummary[[#This Row],[Summary20]]</f>
        <v>254138.03320800047</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0</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1.7070815116537559</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-7493057.1249637175</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5852179.2250000006</v>
      </c>
      <c r="AB1733" s="93">
        <f ca="1">Tab1SDataShiftSummary[[#This Row],[Summary0]]-Tab1SDataShiftSummary[[#This Row],[Summary20]]</f>
        <v>-140026.48500000034</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0</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-12994876.010560457</v>
      </c>
      <c r="AB1734" s="93">
        <f ca="1">Tab1SDataShiftSummary[[#This Row],[Summary0]]-Tab1SDataShiftSummary[[#This Row],[Summary20]]</f>
        <v>2765831.7717902977</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0</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-3931156.0053853146</v>
      </c>
      <c r="AB1735" s="93">
        <f ca="1">Tab1SDataShiftSummary[[#This Row],[Summary0]]-Tab1SDataShiftSummary[[#This Row],[Summary20]]</f>
        <v>503779.4904441</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0</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-1640877.899963717</v>
      </c>
      <c r="AB1736" s="93">
        <f ca="1">Tab1SDataShiftSummary[[#This Row],[Summary0]]-Tab1SDataShiftSummary[[#This Row],[Summary20]]</f>
        <v>278934.49649999989</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0</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-20487933.135524176</v>
      </c>
      <c r="AB1737" s="93">
        <f ca="1">Tab1SDataShiftSummary[[#This Row],[Summary0]]-Tab1SDataShiftSummary[[#This Row],[Summary20]]</f>
        <v>3184792.7532903031</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0</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-10854653.515837716</v>
      </c>
      <c r="AB1738" s="93">
        <f ca="1">Tab1SDataShiftSummary[[#This Row],[Summary0]]-Tab1SDataShiftSummary[[#This Row],[Summary20]]</f>
        <v>801487.85049999878</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0</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9555240.7450547181</v>
      </c>
      <c r="AB1739" s="93">
        <f ca="1">Tab1SDataShiftSummary[[#This Row],[Summary0]]-Tab1SDataShiftSummary[[#This Row],[Summary20]]</f>
        <v>-2368870.7956209984</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-5002474.2908377172</v>
      </c>
      <c r="AB1740" s="93">
        <f ca="1">Tab1SDataShiftSummary[[#This Row],[Summary0]]-Tab1SDataShiftSummary[[#This Row],[Summary20]]</f>
        <v>661461.36550000124</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0</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-78112.252089505128</v>
      </c>
      <c r="AB1742" s="93">
        <f ca="1">Tab1SDataShiftSummary[[#This Row],[Summary0]]-Tab1SDataShiftSummary[[#This Row],[Summary20]]</f>
        <v>14439.525227169383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0</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-3439635.2655057386</v>
      </c>
      <c r="AB1743" s="93">
        <f ca="1">Tab1SDataShiftSummary[[#This Row],[Summary0]]-Tab1SDataShiftSummary[[#This Row],[Summary20]]</f>
        <v>396960.97616929933</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0</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-0.41740340442248242</v>
      </c>
      <c r="AB1744" s="308">
        <f ca="1">Tab1SDataShiftSummary[[#This Row],[Summary0]]-Tab1SDataShiftSummary[[#This Row],[Summary20]]</f>
        <v>2.0031421062470189E-2</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0</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3661670</v>
      </c>
      <c r="AB1745" s="93">
        <f ca="1">Tab1SDataShiftSummary[[#This Row],[Summary0]]-Tab1SDataShiftSummary[[#This Row],[Summary20]]</f>
        <v>-720740</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0</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2190509.2249999996</v>
      </c>
      <c r="AB1746" s="93">
        <f ca="1">Tab1SDataShiftSummary[[#This Row],[Summary0]]-Tab1SDataShiftSummary[[#This Row],[Summary20]]</f>
        <v>580713.51500000013</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0</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-1.27251991118765</v>
      </c>
      <c r="AB1749" s="308">
        <f ca="1">Tab1SDataShiftSummary[[#This Row],[Summary0]]-Tab1SDataShiftSummary[[#This Row],[Summary20]]</f>
        <v>5.9497207187537704E-3</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0</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0.46085987761274438</v>
      </c>
      <c r="AB1750" s="308">
        <f ca="1">Tab1SDataShiftSummary[[#This Row],[Summary0]]-Tab1SDataShiftSummary[[#This Row],[Summary20]]</f>
        <v>-2.9054308118840244E-2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0</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2762</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-0.79255823939257641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34030380.474999994</v>
      </c>
      <c r="AB1754" s="93">
        <f ca="1">Tab1SDataShiftSummary[[#This Row],[Summary0]]-Tab1SDataShiftSummary[[#This Row],[Summary20]]</f>
        <v>-1134169.9649999961</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0</v>
      </c>
      <c r="AW1754" s="93">
        <f ca="1">C1754+Tab1SDataShiftSummary[[#This Row],[Summary20]]</f>
        <v>8435558.9182362817</v>
      </c>
      <c r="AX1754" t="s">
        <v>2767</v>
      </c>
      <c r="AY1754" s="720" t="s">
        <v>1835</v>
      </c>
      <c r="AZ1754" s="93">
        <f ca="1">Tab1SDataShiftSummary[[#This Row],[Summary20]]+C1754</f>
        <v>8435558.9182362817</v>
      </c>
      <c r="BA1754" s="93">
        <f ca="1">Z1764</f>
        <v>2963050.8096597493</v>
      </c>
      <c r="BB1754" s="93">
        <f ca="1">Z1773</f>
        <v>3046155.4128</v>
      </c>
      <c r="BC1754" s="93">
        <f ca="1">AZ1754+Z1773</f>
        <v>11481714.331036281</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-72632403.244800001</v>
      </c>
      <c r="AB1755" s="93">
        <f ca="1">Tab1SDataShiftSummary[[#This Row],[Summary0]]-Tab1SDataShiftSummary[[#This Row],[Summary20]]</f>
        <v>5291716.2012071908</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0</v>
      </c>
      <c r="AY1755" s="720" t="s">
        <v>1910</v>
      </c>
    </row>
    <row r="1756" spans="1:55" x14ac:dyDescent="0.3">
      <c r="B1756" s="720" t="s">
        <v>2297</v>
      </c>
      <c r="C1756" s="93">
        <f ca="1">Tab1SDataShiftSummary[[#This Row],[Summary20]]</f>
        <v>-9276463.9139840342</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-9276463.9139840342</v>
      </c>
      <c r="AB1756" s="93">
        <f ca="1">Tab1SDataShiftSummary[[#This Row],[Summary0]]-Tab1SDataShiftSummary[[#This Row],[Summary20]]</f>
        <v>-714561.18413008004</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0</v>
      </c>
      <c r="AY1756" s="720" t="s">
        <v>2297</v>
      </c>
    </row>
    <row r="1757" spans="1:55" x14ac:dyDescent="0.3">
      <c r="B1757" s="720" t="s">
        <v>2130</v>
      </c>
      <c r="C1757" s="93">
        <f ca="1">Tab1SDataShiftSummary[[#This Row],[Summary20]]</f>
        <v>8435558.9182362854</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8435558.9182362854</v>
      </c>
      <c r="AB1757" s="93">
        <f ca="1">Tab1SDataShiftSummary[[#This Row],[Summary0]]-Tab1SDataShiftSummary[[#This Row],[Summary20]]</f>
        <v>-934171.96499999613</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0</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-98227224.80156374</v>
      </c>
      <c r="AA1758" s="362"/>
      <c r="AB1758" s="93">
        <f ca="1">Tab1SDataShiftSummary[[#This Row],[Summary0]]-Tab1SDataShiftSummary[[#This Row],[Summary20]]</f>
        <v>5491714.2012071908</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0</v>
      </c>
      <c r="AY1758" s="720" t="s">
        <v>1912</v>
      </c>
    </row>
    <row r="1759" spans="1:55" x14ac:dyDescent="0.3">
      <c r="B1759" s="721" t="s">
        <v>2292</v>
      </c>
      <c r="C1759" s="93">
        <f ca="1">Tab1SDataShiftSummary[[#This Row],[Summary20]]</f>
        <v>-22179981.718754716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-22179981.718754716</v>
      </c>
      <c r="AA1759" s="362"/>
      <c r="AB1759" s="93">
        <f ca="1">Tab1SDataShiftSummary[[#This Row],[Summary0]]-Tab1SDataShiftSummary[[#This Row],[Summary20]]</f>
        <v>2049661.8020000011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0</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75595454.054459751</v>
      </c>
      <c r="AA1760" s="362"/>
      <c r="AB1760" s="93">
        <f ca="1">Tab1SDataShiftSummary[[#This Row],[Summary0]]-Tab1SDataShiftSummary[[#This Row],[Summary20]]</f>
        <v>-3418898.6614780426</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0</v>
      </c>
      <c r="AY1760" s="720" t="s">
        <v>1911</v>
      </c>
    </row>
    <row r="1761" spans="2:58" x14ac:dyDescent="0.3">
      <c r="B1761" s="721" t="s">
        <v>975</v>
      </c>
      <c r="C1761" s="93">
        <f ca="1">Tab1SDataShiftSummary[[#This Row],[Summary20]]</f>
        <v>11850398.756245285</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11850398.756245285</v>
      </c>
      <c r="AA1761" s="362"/>
      <c r="AB1761" s="93">
        <f ca="1">Tab1SDataShiftSummary[[#This Row],[Summary0]]-Tab1SDataShiftSummary[[#This Row],[Summary20]]</f>
        <v>915491.83700000122</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0</v>
      </c>
      <c r="AY1761" s="721" t="s">
        <v>975</v>
      </c>
    </row>
    <row r="1762" spans="2:58" x14ac:dyDescent="0.3">
      <c r="B1762" s="720" t="s">
        <v>2294</v>
      </c>
      <c r="C1762" s="93">
        <f ca="1">Tab1SDataShiftSummary[[#This Row],[Summary20]]</f>
        <v>11141276.596090002</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11141276.596090002</v>
      </c>
      <c r="AB1762" s="93">
        <f ca="1">Tab1SDataShiftSummary[[#This Row],[Summary0]]-Tab1SDataShiftSummary[[#This Row],[Summary20]]</f>
        <v>1552805.1638999991</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0</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-451938.96502566105</v>
      </c>
      <c r="AB1763" s="93">
        <f ca="1">Tab1SDataShiftSummary[[#This Row],[Summary0]]-Tab1SDataShiftSummary[[#This Row],[Summary20]]</f>
        <v>23167.593442981539</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0</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2963050.8096597493</v>
      </c>
      <c r="AB1764" s="93">
        <f ca="1">Tab1SDataShiftSummary[[#This Row],[Summary0]]-Tab1SDataShiftSummary[[#This Row],[Summary20]]</f>
        <v>1872817.5397291481</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0</v>
      </c>
      <c r="AY1764" s="720" t="s">
        <v>1905</v>
      </c>
      <c r="BA1764" s="950">
        <f ca="1">V3</f>
        <v>45964</v>
      </c>
      <c r="BB1764" s="950">
        <f ca="1">W3</f>
        <v>45965</v>
      </c>
      <c r="BC1764" s="950">
        <f ca="1">X3</f>
        <v>45966</v>
      </c>
      <c r="BD1764" s="950">
        <f ca="1">Y3</f>
        <v>45967</v>
      </c>
      <c r="BE1764" s="951">
        <f ca="1">Z3</f>
        <v>45968</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0.90935069617636244</v>
      </c>
      <c r="AB1765" s="308">
        <f ca="1">Tab1SDataShiftSummary[[#This Row],[Summary0]]-Tab1SDataShiftSummary[[#This Row],[Summary20]]</f>
        <v>-0.15853815396262738</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0</v>
      </c>
      <c r="AX1765" s="603" t="s">
        <v>2483</v>
      </c>
      <c r="AY1765" s="720" t="s">
        <v>2286</v>
      </c>
      <c r="BA1765" s="1052" t="s">
        <v>2304</v>
      </c>
      <c r="BB1765" s="1052" t="s">
        <v>2304</v>
      </c>
      <c r="BC1765" s="1052" t="s">
        <v>2304</v>
      </c>
      <c r="BD1765" s="1052" t="s">
        <v>2304</v>
      </c>
      <c r="BE1765" s="1052" t="s">
        <v>2304</v>
      </c>
      <c r="BF1765" s="1050">
        <f ca="1">SUM(BF1766:BF1769)</f>
        <v>82073.13</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8897641.1099999994</v>
      </c>
      <c r="AB1766" s="93">
        <f ca="1">Tab1SDataShiftSummary[[#This Row],[Summary0]]-Tab1SDataShiftSummary[[#This Row],[Summary20]]</f>
        <v>640799.91000000015</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0</v>
      </c>
      <c r="AW1766" s="1" t="s">
        <v>2279</v>
      </c>
      <c r="AX1766" s="1060">
        <f ca="1">AV1766+BE1766</f>
        <v>0</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79300</v>
      </c>
      <c r="BC1766" s="952" cm="1">
        <f t="array" aca="1" ref="BC1766" ca="1">SUMPRODUCT(
  (Entries!$A$554:$A$799 = BC$1764) *
  (Entries!$J$554:$J$799= Entries!$K33) *
  --(Entries!$E$554:$E$799)
)</f>
        <v>-231778</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-152478</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23055959.364999995</v>
      </c>
      <c r="AB1767" s="93">
        <f ca="1">Tab1SDataShiftSummary[[#This Row],[Summary0]]-Tab1SDataShiftSummary[[#This Row],[Summary20]]</f>
        <v>-2101909.8749999963</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0</v>
      </c>
      <c r="AW1767" s="1" t="s">
        <v>2279</v>
      </c>
      <c r="AX1767" s="1061">
        <f ca="1">AV1767+BE1767</f>
        <v>282179</v>
      </c>
      <c r="AY1767" s="1017" t="s">
        <v>1131</v>
      </c>
      <c r="BA1767" s="588" cm="1">
        <f t="array" aca="1" ref="BA1767" ca="1">SUMPRODUCT(
  (Entries!$A$554:$A$799 = BA$1764) *
  (Entries!$J$554:$J$799= Entries!$K34) *
  --(Entries!$E$554:$E$799)
)</f>
        <v>32666.13</v>
      </c>
      <c r="BB1767" s="588" cm="1">
        <f t="array" aca="1" ref="BB1767" ca="1">SUMPRODUCT(
  (Entries!$A$554:$A$799 = BB$1764) *
  (Entries!$J$554:$J$799= Entries!$K34) *
  --(Entries!$E$554:$E$799)
)</f>
        <v>-378431</v>
      </c>
      <c r="BC1767" s="588" cm="1">
        <f t="array" aca="1" ref="BC1767" ca="1">SUMPRODUCT(
  (Entries!$A$554:$A$799 = BC$1764) *
  (Entries!$J$554:$J$799= Entries!$K34) *
  --(Entries!$E$554:$E$799)
)</f>
        <v>237360</v>
      </c>
      <c r="BD1767" s="588" cm="1">
        <f t="array" aca="1" ref="BD1767" ca="1">SUMPRODUCT(
  (Entries!$A$554:$A$799 = BD$1764) *
  (Entries!$J$554:$J$799= Entries!$K34) *
  --(Entries!$E$554:$E$799)
)</f>
        <v>86655</v>
      </c>
      <c r="BE1767" s="588" cm="1">
        <f t="array" aca="1" ref="BE1767" ca="1">SUMPRODUCT(
  (Entries!$A$603:$A$799 = BE$1764) *
  (Entries!$J$603:$J$799= Entries!$K34) *
  --(Entries!$E$603:$E$799)
)</f>
        <v>282179</v>
      </c>
      <c r="BF1767" s="1046">
        <f t="shared" ref="BF1767:BF1769" ca="1" si="139">SUM(BA1767:BE1767)</f>
        <v>260429.13</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910780</v>
      </c>
      <c r="AB1768" s="93">
        <f ca="1">Tab1SDataShiftSummary[[#This Row],[Summary0]]-Tab1SDataShiftSummary[[#This Row],[Summary20]]</f>
        <v>633340</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0</v>
      </c>
      <c r="AW1768" s="1" t="s">
        <v>2279</v>
      </c>
      <c r="AX1768" s="1061">
        <f ca="1">AV1768+BE1768</f>
        <v>76002</v>
      </c>
      <c r="AY1768" s="1017" t="s">
        <v>1445</v>
      </c>
      <c r="BA1768" s="588" cm="1">
        <f t="array" aca="1" ref="BA1768" ca="1">SUMPRODUCT(
  (Entries!$A$554:$A$799 = BA$1764) *
  (Entries!$J$554:$J$799= Entries!$K35) *
  --(Entries!$E$554:$E$799)
)</f>
        <v>106800</v>
      </c>
      <c r="BB1768" s="588" cm="1">
        <f t="array" aca="1" ref="BB1768" ca="1">SUMPRODUCT(
  (Entries!$A$554:$A$799 = BB$1764) *
  (Entries!$J$554:$J$799= Entries!$K35) *
  --(Entries!$E$554:$E$799)
)</f>
        <v>0</v>
      </c>
      <c r="BC1768" s="588" cm="1">
        <f t="array" aca="1" ref="BC1768" ca="1">SUMPRODUCT(
  (Entries!$A$554:$A$799 = BC$1764) *
  (Entries!$J$554:$J$799= Entries!$K35) *
  --(Entries!$E$554:$E$799)
)</f>
        <v>85020</v>
      </c>
      <c r="BD1768" s="588" cm="1">
        <f t="array" aca="1" ref="BD1768" ca="1">SUMPRODUCT(
  (Entries!$A$554:$A$799 = BD$1764) *
  (Entries!$J$554:$J$799= Entries!$K35) *
  --(Entries!$E$554:$E$799)
)</f>
        <v>0</v>
      </c>
      <c r="BE1768" s="588" cm="1">
        <f t="array" aca="1" ref="BE1768" ca="1">SUMPRODUCT(
  (Entries!$A$603:$A$799 = BE$1764) *
  (Entries!$J$603:$J$799= Entries!$K35) *
  --(Entries!$E$603:$E$799)
)</f>
        <v>76002</v>
      </c>
      <c r="BF1768" s="1046">
        <f t="shared" ca="1" si="139"/>
        <v>267822</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-116900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0</v>
      </c>
      <c r="BC1769" s="949" cm="1">
        <f t="array" aca="1" ref="BC1769" ca="1">SUMPRODUCT(
  (Entries!$A$554:$A$799 = BC$1764) *
  (Entries!$J$554:$J$799= Entries!$K36) *
  --(Entries!$E$554:$E$799)
)</f>
        <v>-59200</v>
      </c>
      <c r="BD1769" s="949" cm="1">
        <f t="array" aca="1" ref="BD1769" ca="1">SUMPRODUCT(
  (Entries!$A$554:$A$799 = BD$1764) *
  (Entries!$J$554:$J$799= Entries!$K36) *
  --(Entries!$E$554:$E$799)
)</f>
        <v>-117600</v>
      </c>
      <c r="BE1769" s="949" cm="1">
        <f t="array" aca="1" ref="BE1769" ca="1">SUMPRODUCT(
  (Entries!$A$603:$A$799 = BE$1764) *
  (Entries!$J$603:$J$799= Entries!$K36) *
  --(Entries!$E$603:$E$799)
)</f>
        <v>-116900</v>
      </c>
      <c r="BF1769" s="1047">
        <f t="shared" ca="1" si="139"/>
        <v>-293700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1.2774693963268815</v>
      </c>
      <c r="AB1770" s="308">
        <f ca="1">Tab1SDataShiftSummary[[#This Row],[Summary0]]-Tab1SDataShiftSummary[[#This Row],[Summary20]]</f>
        <v>2.6641835493235178E-4</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0</v>
      </c>
      <c r="AX1770" s="1048">
        <f ca="1">SUM(AX1766:AX1769)</f>
        <v>241281</v>
      </c>
      <c r="AY1770" s="720" t="s">
        <v>2126</v>
      </c>
      <c r="BA1770" s="93">
        <f ca="1">SUM(BA1766:BA1769)</f>
        <v>139466.13</v>
      </c>
      <c r="BB1770" s="93">
        <f t="shared" ref="BB1770:BE1770" ca="1" si="140">SUM(BB1766:BB1769)</f>
        <v>-299131</v>
      </c>
      <c r="BC1770" s="93">
        <f t="shared" ca="1" si="140"/>
        <v>31402</v>
      </c>
      <c r="BD1770" s="93">
        <f t="shared" ca="1" si="140"/>
        <v>-30945</v>
      </c>
      <c r="BE1770" s="93">
        <f t="shared" ca="1" si="140"/>
        <v>241281</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0.53428352225488729</v>
      </c>
      <c r="AB1771" s="308">
        <f ca="1">Tab1SDataShiftSummary[[#This Row],[Summary0]]-Tab1SDataShiftSummary[[#This Row],[Summary20]]</f>
        <v>9.987880830102569E-2</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0</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-24902171.948454715</v>
      </c>
      <c r="AB1772" s="869">
        <f ca="1">Tab1SDataShiftSummary[[#This Row],[Summary0]]-Tab1SDataShiftSummary[[#This Row],[Summary20]]</f>
        <v>1795523.7687920034</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0</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3046155.4128</v>
      </c>
      <c r="AB1773" s="869">
        <f ca="1">Tab1SDataShiftSummary[[#This Row],[Summary0]]-Tab1SDataShiftSummary[[#This Row],[Summary20]]</f>
        <v>-69827.14989199955</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0</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0.50708894663083248</v>
      </c>
      <c r="AB1774" s="308">
        <f ca="1">Tab1SDataShiftSummary[[#This Row],[Summary20]]-Tab1SDataShiftSummary[[#This Row],[Summary0]]</f>
        <v>-0.10486965940880433</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0</v>
      </c>
      <c r="AY1774" s="720" t="s">
        <v>2721</v>
      </c>
    </row>
    <row r="1775" spans="2:58" x14ac:dyDescent="0.3">
      <c r="B1775" s="720" t="s">
        <v>2781</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G1775:Z1775" ca="1" si="141">Z1754+Z1773</f>
        <v>37076535.887799993</v>
      </c>
      <c r="AB1775" s="869">
        <f ca="1">Tab1SDataShiftSummary[[#This Row],[Summary0]]-Tab1SDataShiftSummary[[#This Row],[Summary20]]</f>
        <v>-1203997.114891991</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0</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1134</v>
      </c>
      <c r="C1816"/>
      <c r="J1816"/>
      <c r="K1816"/>
    </row>
    <row r="1817" spans="2:11" x14ac:dyDescent="0.3">
      <c r="B1817"/>
      <c r="C1817"/>
      <c r="J1817"/>
      <c r="K1817"/>
    </row>
    <row r="1818" spans="2:11" x14ac:dyDescent="0.3">
      <c r="B1818" t="s">
        <v>1131</v>
      </c>
      <c r="C1818"/>
      <c r="J1818"/>
      <c r="K1818"/>
    </row>
    <row r="1819" spans="2:11" x14ac:dyDescent="0.3">
      <c r="B1819"/>
      <c r="C1819"/>
      <c r="J1819"/>
      <c r="K1819"/>
    </row>
    <row r="1820" spans="2:11" x14ac:dyDescent="0.3">
      <c r="B1820" t="s">
        <v>1445</v>
      </c>
      <c r="C1820"/>
      <c r="J1820"/>
      <c r="K1820"/>
    </row>
    <row r="1821" spans="2:11" x14ac:dyDescent="0.3">
      <c r="B1821"/>
      <c r="J1821"/>
      <c r="K1821"/>
    </row>
    <row r="1822" spans="2:11" x14ac:dyDescent="0.3">
      <c r="B1822" t="s">
        <v>1133</v>
      </c>
      <c r="J1822"/>
      <c r="K1822"/>
    </row>
    <row r="1823" spans="2:11" x14ac:dyDescent="0.3">
      <c r="J1823"/>
      <c r="K1823"/>
    </row>
    <row r="1824" spans="2:11" x14ac:dyDescent="0.3">
      <c r="J1824"/>
      <c r="K1824"/>
    </row>
    <row r="1825" spans="10:11" x14ac:dyDescent="0.3">
      <c r="J1825"/>
      <c r="K1825"/>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6" priority="22" operator="lessThan">
      <formula>0</formula>
    </cfRule>
    <cfRule type="cellIs" dxfId="535" priority="23" operator="greaterThan">
      <formula>0</formula>
    </cfRule>
  </conditionalFormatting>
  <conditionalFormatting sqref="AC704:AC797">
    <cfRule type="top10" dxfId="534" priority="2147" rank="20"/>
    <cfRule type="top10" dxfId="533" priority="2148" rank="10"/>
    <cfRule type="top10" dxfId="532" priority="2149" bottom="1" rank="30"/>
    <cfRule type="top10" dxfId="531" priority="2150" bottom="1" rank="10"/>
  </conditionalFormatting>
  <conditionalFormatting sqref="AD704:AD797">
    <cfRule type="top10" dxfId="530" priority="2159" rank="20"/>
    <cfRule type="top10" dxfId="529" priority="2160" rank="10"/>
    <cfRule type="top10" dxfId="528" priority="2161" bottom="1" rank="30"/>
    <cfRule type="top10" dxfId="527" priority="2162" bottom="1" rank="10"/>
  </conditionalFormatting>
  <conditionalFormatting sqref="AE704:AE797">
    <cfRule type="top10" dxfId="526" priority="2171" rank="20"/>
    <cfRule type="top10" dxfId="525" priority="2172" rank="10"/>
    <cfRule type="top10" dxfId="524" priority="2173" bottom="1" rank="30"/>
    <cfRule type="top10" dxfId="523" priority="2174" bottom="1" rank="10"/>
  </conditionalFormatting>
  <conditionalFormatting sqref="AF704:AF797">
    <cfRule type="top10" dxfId="522" priority="2183" rank="20"/>
    <cfRule type="top10" dxfId="521" priority="2184" rank="10"/>
    <cfRule type="top10" dxfId="520" priority="2185" bottom="1" rank="30"/>
    <cfRule type="top10" dxfId="519" priority="2186" bottom="1" rank="10"/>
  </conditionalFormatting>
  <conditionalFormatting sqref="AG704:AG797">
    <cfRule type="top10" dxfId="518" priority="2195" rank="20"/>
    <cfRule type="top10" dxfId="517" priority="2196" rank="10"/>
    <cfRule type="top10" dxfId="516" priority="2197" bottom="1" rank="30"/>
    <cfRule type="top10" dxfId="515" priority="2198" bottom="1" rank="10"/>
  </conditionalFormatting>
  <conditionalFormatting sqref="AH704:AH797">
    <cfRule type="top10" dxfId="514" priority="2207" rank="20"/>
    <cfRule type="top10" dxfId="513" priority="2208" rank="10"/>
    <cfRule type="top10" dxfId="512" priority="2209" bottom="1" rank="30"/>
    <cfRule type="top10" dxfId="511" priority="2210" bottom="1" rank="10"/>
  </conditionalFormatting>
  <conditionalFormatting sqref="AI704:AI797">
    <cfRule type="top10" dxfId="510" priority="2219" rank="20"/>
    <cfRule type="top10" dxfId="509" priority="2220" rank="10"/>
    <cfRule type="top10" dxfId="508" priority="2221" bottom="1" rank="30"/>
    <cfRule type="top10" dxfId="507" priority="2222" bottom="1" rank="10"/>
  </conditionalFormatting>
  <conditionalFormatting sqref="AJ704:AJ797">
    <cfRule type="top10" dxfId="506" priority="2231" rank="20"/>
    <cfRule type="top10" dxfId="505" priority="2232" rank="10"/>
    <cfRule type="top10" dxfId="504" priority="2233" bottom="1" rank="30"/>
    <cfRule type="top10" dxfId="503" priority="2234" bottom="1" rank="10"/>
  </conditionalFormatting>
  <conditionalFormatting sqref="AK704:AK797">
    <cfRule type="top10" dxfId="502" priority="2327" rank="20"/>
    <cfRule type="top10" dxfId="501" priority="2328" rank="10"/>
    <cfRule type="top10" dxfId="500" priority="2329" bottom="1" rank="30"/>
    <cfRule type="top10" dxfId="499" priority="2330" bottom="1" rank="10"/>
  </conditionalFormatting>
  <conditionalFormatting sqref="AL704:AL797">
    <cfRule type="top10" dxfId="498" priority="2351" rank="20"/>
    <cfRule type="top10" dxfId="497" priority="2352" rank="10"/>
    <cfRule type="top10" dxfId="496" priority="2353" bottom="1" rank="30"/>
    <cfRule type="top10" dxfId="49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opLeftCell="A42" zoomScale="146" zoomScaleNormal="146" workbookViewId="0">
      <selection activeCell="D652" sqref="D652"/>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5" t="s">
        <v>660</v>
      </c>
      <c r="F2" s="927" t="s">
        <v>131</v>
      </c>
      <c r="H2" s="446" t="s">
        <v>1868</v>
      </c>
      <c r="I2" s="448" t="s">
        <v>1664</v>
      </c>
      <c r="S2" s="446">
        <v>300</v>
      </c>
      <c r="T2" s="446">
        <v>287.89</v>
      </c>
    </row>
    <row r="3" spans="1:20" ht="24" thickTop="1" thickBot="1" x14ac:dyDescent="0.35">
      <c r="A3" s="1346"/>
      <c r="B3" s="1347"/>
      <c r="C3" s="1348"/>
      <c r="D3" s="1349"/>
      <c r="E3" s="1350"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1"/>
      <c r="B4" s="1033"/>
      <c r="C4" s="451"/>
      <c r="D4" s="1498"/>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1"/>
      <c r="B5" s="1033"/>
      <c r="C5" s="451"/>
      <c r="D5" s="452"/>
      <c r="E5" s="453"/>
      <c r="F5" s="446" t="str">
        <f ca="1">_xlfn.XLOOKUP(B5,TabCalc[Ticker],TabCalc[M],"no Order")</f>
        <v>no Order</v>
      </c>
      <c r="H5" s="446" t="s">
        <v>2730</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1"/>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51"/>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51"/>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1"/>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1"/>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1"/>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1"/>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1"/>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1"/>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1"/>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2"/>
      <c r="B16" s="1353"/>
      <c r="C16" s="1354"/>
      <c r="D16" s="1355"/>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-4836542.5045729969</v>
      </c>
      <c r="I40" s="811">
        <f ca="1">(H42-I42)*I38</f>
        <v>87721.072180489791</v>
      </c>
      <c r="J40" s="993" t="s">
        <v>1445</v>
      </c>
    </row>
    <row r="41" spans="1:14" x14ac:dyDescent="0.3">
      <c r="B41" s="454"/>
      <c r="C41" s="454"/>
      <c r="D41" s="814">
        <f>A43</f>
        <v>45684</v>
      </c>
      <c r="E41" s="810">
        <f>MAX(A43:A1003)</f>
        <v>45968</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-4836542.5045730006</v>
      </c>
      <c r="G42" s="906" t="s">
        <v>2321</v>
      </c>
      <c r="H42" s="1031" cm="1">
        <f t="array" aca="1" ref="H42" ca="1">SUM(_xlfn._xlws.FILTER(F43:F1000,F43:F1000&gt;0))</f>
        <v>14451165.705500001</v>
      </c>
      <c r="I42" s="1032" cm="1">
        <f t="array" aca="1" ref="I42" ca="1">SUM(_xlfn._xlws.FILTER(F43:F1000,F43:F1000&lt;0))</f>
        <v>-19287708.210072998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D653" s="464"/>
      <c r="E653" s="1034">
        <f ca="1">IFERROR(C653*D653*_xlfn.XLOOKUP(B653,TabCalc[Ticker],TabCalc[Scale]),0)</f>
        <v>0</v>
      </c>
      <c r="F653" s="1035" cm="1">
        <f t="array" aca="1" ref="F653" ca="1">IF(A653=A652,0,SUM(_xlfn._xlws.FILTER(E653:E662,A653:A662=A653)))</f>
        <v>0</v>
      </c>
      <c r="G653" s="1036">
        <f ca="1">IF(F653&lt;&gt;0,SUM($F$43:F653),0)</f>
        <v>0</v>
      </c>
      <c r="H653" s="1036" cm="1">
        <f t="array" aca="1" ref="H653" ca="1">IFERROR(IF(A653=A652,0,SUM(_xlfn._xlws.FILTER(E653:E662,(A653:A662=A653)*(E653:E662&gt;0)))),0)</f>
        <v>0</v>
      </c>
      <c r="I653" s="1036" cm="1">
        <f t="array" aca="1" ref="I653" ca="1">IFERROR(IF(A653=A652,0,SUM(_xlfn._xlws.FILTER(E653:E662,(A653:A662=A653)*(F653&lt;0)))),0)</f>
        <v>0</v>
      </c>
      <c r="J653" s="293" t="str">
        <f ca="1">IFERROR(_xlfn.XLOOKUP(B653,TabCalc[Ticker],TabCalc[Cur]),"")</f>
        <v/>
      </c>
      <c r="K653" s="1035" cm="1">
        <f t="array" aca="1" ref="K653" ca="1">IFERROR(IF($A653=$A652,0,SUM(_xlfn._xlws.FILTER($E653:$E663,($A653:$A663=$A653)*($J653:$J663=K$42)))),0)</f>
        <v>0</v>
      </c>
      <c r="L653" s="1035" cm="1">
        <f t="array" aca="1" ref="L653" ca="1">IFERROR(IF($A653=$A652,0,SUM(_xlfn._xlws.FILTER($E653:$E663,($A653:$A663=$A653)*($J653:$J663=L$42)))),0)</f>
        <v>0</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D654" s="464"/>
      <c r="E654" s="1034">
        <f ca="1">IFERROR(C654*D654*_xlfn.XLOOKUP(B654,TabCalc[Ticker],TabCalc[Scale]),0)</f>
        <v>0</v>
      </c>
      <c r="F654" s="1035" cm="1">
        <f t="array" ref="F654">IF(A654=A653,0,SUM(_xlfn._xlws.FILTER(E654:E663,A654:A663=A654)))</f>
        <v>0</v>
      </c>
      <c r="G654" s="1036">
        <f>IF(F654&lt;&gt;0,SUM($F$43:F654),0)</f>
        <v>0</v>
      </c>
      <c r="H654" s="1036" cm="1">
        <f t="array" ref="H654">IFERROR(IF(A654=A653,0,SUM(_xlfn._xlws.FILTER(E654:E663,(A654:A663=A654)*(E654:E663&gt;0)))),0)</f>
        <v>0</v>
      </c>
      <c r="I654" s="1036" cm="1">
        <f t="array" ref="I654">IFERROR(IF(A654=A653,0,SUM(_xlfn._xlws.FILTER(E654:E663,(A654:A663=A654)*(F654&lt;0)))),0)</f>
        <v>0</v>
      </c>
      <c r="J654" s="293" t="str">
        <f ca="1">IFERROR(_xlfn.XLOOKUP(B654,TabCalc[Ticker],TabCalc[Cur]),"")</f>
        <v/>
      </c>
      <c r="K654" s="1035" cm="1">
        <f t="array" ref="K654">IFERROR(IF($A654=$A653,0,SUM(_xlfn._xlws.FILTER($E654:$E664,($A654:$A664=$A654)*($J654:$J664=K$42)))),0)</f>
        <v>0</v>
      </c>
      <c r="L654" s="1035" cm="1">
        <f t="array" ref="L654">IFERROR(IF($A654=$A653,0,SUM(_xlfn._xlws.FILTER($E654:$E664,($A654:$A664=$A654)*($J654:$J664=L$42)))),0)</f>
        <v>0</v>
      </c>
      <c r="M654" s="1035" cm="1">
        <f t="array" ref="M654">IFERROR(IF($A654=$A653,0,SUM(_xlfn._xlws.FILTER($E654:$E664,($A654:$A664=$A654)*($J654:$J664=M$42)))),0)</f>
        <v>0</v>
      </c>
      <c r="N654" s="1035" cm="1">
        <f t="array" ref="N654">IFERROR(IF($A654=$A653,0,SUM(_xlfn._xlws.FILTER($E654:$E664,($A654:$A664=$A654)*($J654:$J664=N$42)))),0)</f>
        <v>0</v>
      </c>
    </row>
    <row r="655" spans="1:14" x14ac:dyDescent="0.3">
      <c r="E655" s="1034">
        <f ca="1">IFERROR(C655*D655*_xlfn.XLOOKUP(B655,TabCalc[Ticker],TabCalc[Scale]),0)</f>
        <v>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M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5">
        <v>40544</v>
      </c>
      <c r="C4" s="1406">
        <v>5000</v>
      </c>
      <c r="D4" s="1407">
        <v>-107.46</v>
      </c>
      <c r="E4" s="1405">
        <v>40544</v>
      </c>
      <c r="F4" s="1406">
        <v>9000</v>
      </c>
      <c r="G4" s="1407">
        <v>-9.8365559999999999</v>
      </c>
      <c r="H4" s="1405">
        <v>40544</v>
      </c>
      <c r="I4" s="1406">
        <v>400000</v>
      </c>
      <c r="J4" s="1407">
        <v>-40.441576750000003</v>
      </c>
      <c r="K4" s="1405">
        <v>40544</v>
      </c>
      <c r="L4" s="1406">
        <v>8000</v>
      </c>
      <c r="M4" s="1407">
        <v>-132.55000000000001</v>
      </c>
      <c r="N4" s="1405">
        <v>40544</v>
      </c>
      <c r="O4" s="1406">
        <v>2448050</v>
      </c>
      <c r="P4" s="1407">
        <v>-1.1677472432195899</v>
      </c>
      <c r="Q4" s="1405">
        <v>40544</v>
      </c>
      <c r="R4" s="1406">
        <v>500</v>
      </c>
      <c r="S4" s="1407">
        <v>-896.1</v>
      </c>
      <c r="T4" s="1405">
        <v>40544</v>
      </c>
      <c r="U4" s="1406">
        <v>190</v>
      </c>
      <c r="V4" s="1407">
        <v>-109.65132</v>
      </c>
      <c r="W4" s="1405">
        <v>40544</v>
      </c>
      <c r="X4" s="1406">
        <v>5000</v>
      </c>
      <c r="Y4" s="1407">
        <v>-54.11</v>
      </c>
      <c r="Z4" s="1405">
        <v>40544</v>
      </c>
      <c r="AA4" s="1406">
        <v>10000</v>
      </c>
      <c r="AB4" s="1407">
        <v>-2.69</v>
      </c>
      <c r="AC4" s="1405">
        <v>40544</v>
      </c>
      <c r="AD4" s="1406">
        <v>12500</v>
      </c>
      <c r="AE4" s="1407">
        <v>-12.7196</v>
      </c>
      <c r="AF4" s="1405">
        <v>40544</v>
      </c>
      <c r="AG4" s="1406">
        <v>100</v>
      </c>
      <c r="AH4" s="1407">
        <v>-49.07</v>
      </c>
      <c r="AI4" s="1405">
        <v>40544</v>
      </c>
      <c r="AJ4" s="1406">
        <v>5000</v>
      </c>
      <c r="AK4" s="1407">
        <v>-39.770000000000003</v>
      </c>
      <c r="AL4" s="1405">
        <v>40544</v>
      </c>
      <c r="AM4" s="1406">
        <v>2000</v>
      </c>
      <c r="AN4" s="1407">
        <v>-108.31</v>
      </c>
      <c r="AO4" s="1405">
        <v>40544</v>
      </c>
      <c r="AP4" s="1406">
        <v>40000</v>
      </c>
      <c r="AQ4" s="1407">
        <v>-10.359875000000001</v>
      </c>
      <c r="AR4" s="1405">
        <v>40544</v>
      </c>
      <c r="AS4" s="1406">
        <v>350</v>
      </c>
      <c r="AT4" s="1407">
        <v>-170.71425714285715</v>
      </c>
      <c r="AU4" s="1405">
        <v>40544</v>
      </c>
      <c r="AV4" s="1406">
        <v>250</v>
      </c>
      <c r="AW4" s="1407">
        <v>-1</v>
      </c>
      <c r="AX4" s="1405">
        <v>40544</v>
      </c>
      <c r="AY4" s="1406">
        <v>1000</v>
      </c>
      <c r="AZ4" s="140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c r="AY17" s="122"/>
      <c r="AZ17" s="162"/>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13</v>
      </c>
      <c r="AY72" s="154">
        <f>COUNT(TabReg[DVA1])</f>
        <v>13</v>
      </c>
      <c r="AZ72" s="154">
        <f>COUNT(TabReg[DVA2])</f>
        <v>13</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50</v>
      </c>
      <c r="BT72" s="154">
        <f>COUNT(TabReg[IAG1])</f>
        <v>50</v>
      </c>
      <c r="BU72" s="154">
        <f>COUNT(TabReg[IAG2])</f>
        <v>50</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45968</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45968</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45968</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0" t="s">
        <v>2193</v>
      </c>
      <c r="Q1" s="1471"/>
      <c r="R1" s="1471"/>
      <c r="S1" s="1472"/>
      <c r="T1" s="784" t="s">
        <v>183</v>
      </c>
      <c r="U1" s="696" t="s">
        <v>2638</v>
      </c>
      <c r="V1" s="774" t="s">
        <v>2078</v>
      </c>
      <c r="W1" s="707" t="s">
        <v>2087</v>
      </c>
      <c r="X1" s="1332" t="s">
        <v>2083</v>
      </c>
      <c r="Y1" s="783" t="s">
        <v>682</v>
      </c>
      <c r="Z1" s="834" t="s">
        <v>2235</v>
      </c>
      <c r="AA1" s="1011" t="s">
        <v>2475</v>
      </c>
      <c r="AB1" s="826" t="s">
        <v>2281</v>
      </c>
      <c r="AC1" s="709" t="s">
        <v>1889</v>
      </c>
      <c r="AD1" s="1473" t="s">
        <v>2570</v>
      </c>
      <c r="AE1" s="1474"/>
      <c r="AF1" s="1474"/>
      <c r="AG1" s="1474"/>
      <c r="AH1" s="1169"/>
      <c r="AI1" s="1169"/>
      <c r="AJ1" s="1169"/>
      <c r="AK1" s="1475" t="s">
        <v>2532</v>
      </c>
      <c r="AL1" s="1475"/>
      <c r="AM1" s="947"/>
      <c r="AN1" s="947"/>
      <c r="AO1" s="1476" t="s">
        <v>2323</v>
      </c>
      <c r="AP1" s="1477"/>
      <c r="AQ1" s="1478" t="s">
        <v>2229</v>
      </c>
      <c r="AR1" s="1478"/>
      <c r="AS1" s="800" t="s">
        <v>2227</v>
      </c>
      <c r="AT1" s="1479" t="s">
        <v>2511</v>
      </c>
      <c r="AU1" s="1480"/>
      <c r="AV1" s="1480"/>
      <c r="AW1" s="1467" t="s">
        <v>2194</v>
      </c>
      <c r="AX1" s="1468"/>
      <c r="AY1" s="1468"/>
      <c r="AZ1" s="1469"/>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+3,895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2,447</v>
      </c>
      <c r="F3" s="226" t="str">
        <f ca="1">TRUNC(TabCalc[[#This Row],[L_B1p]],2)&amp;"x"&amp;TabCalc[[#This Row],[L_B1n]]&amp;"=   "&amp;TEXT(TabCalc[[#This Row],[ReverseS1]],"#,#0")&amp;"$"</f>
        <v>-200.7x300=   20,189$</v>
      </c>
      <c r="G3" s="225" t="str">
        <f ca="1">IFERROR(TRUNC(_xlfn.XLOOKUP(TabTRADER[[#This Row],[ClickTick]],TabCalc[Ticker],ListLastSalep),2)&amp;"x"&amp;_xlfn.XLOOKUP(TabTRADER[[#This Row],[ClickTick]],TabCalc[Ticker],ListLastSalen)&amp;"=   "&amp;TEXT(-_xlfn.XLOOKUP(TabTRADER[[#This Row],[ClickTick]],TabCalc[Ticker],ListReverseB),"#,#0")&amp;"$","")</f>
        <v>270.04x500=   -1,022$</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2,447</v>
      </c>
      <c r="I3" s="226" t="str">
        <f ca="1">IFERROR(TRUNC(TabCalc[[#This Row],[L_S1p]],2)&amp;"x"&amp;TabCalc[[#This Row],[L_S1n]]&amp;"=   "&amp;TEXT(TabCalc[[#This Row],[ReverseB1]],"#,#0"),"")</f>
        <v>263.58x500=   -2,209</v>
      </c>
      <c r="J3" s="295">
        <f ca="1">_xlfn.XLOOKUP(TabTRADER[[#This Row],[ClickTick]],TabCalc[Ticker],ListGravity)</f>
        <v>1.0314703895939132</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1205986.5</v>
      </c>
      <c r="M3" s="323">
        <f ca="1">_xlfn.XLOOKUP(TabTRADER[[#This Row],[ClickTick]],TabCalc[Ticker],TabCalc[Agiotage])</f>
        <v>0.75361006056948199</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7.8371962015129581E-2</v>
      </c>
      <c r="S3" s="683">
        <f ca="1">_xlfn.XLOOKUP(TabTRADER[[#This Row],[ClickTick]],TabCalc[Ticker],TabCalc[Rev(MinStock)])*(1-Commission)</f>
        <v>3885.2719600000005</v>
      </c>
      <c r="T3" s="782">
        <f ca="1">_xlfn.XLOOKUP(TabTRADER[[#This Row],[ClickTick]],TabCalc[Ticker],TabCalc[Agiotage])</f>
        <v>0.75361006056948199</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-16,844/-16,844=&gt;-0.7% / -0.7%</v>
      </c>
      <c r="V3" s="739" t="str">
        <f ca="1">_xlfn.XLOOKUP(TabTRADER[[#This Row],[ClickTick]],[1]!RTData[Ticker_Symbol],[1]!RTData[Currency])</f>
        <v>USD</v>
      </c>
      <c r="W3" s="749">
        <f ca="1">_xlfn.XLOOKUP(TabTRADER[[#This Row],[ClickTick]],TabCalc[Ticker],TabCalc[M])</f>
        <v>267.99700000000001</v>
      </c>
      <c r="X3" s="1343"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^1,133/2,546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176" t="str" cm="1">
        <f t="array" aca="1" ref="AF3" ca="1">_xlfn.IFS(       TabTRADER[[#This Row],[Traps]]=RePurchaseGain,TEXT(TabTRADER[[#This Row],[L_Sn]],"#,#0")&amp;" x "&amp;TEXT(TabTRADER[[#This Row],[L_Sp]],"#,#0.#0"),     TabTRADER[[#This Row],[Traps]]=ReSaleGain,TEXT(TabTRADER[[#This Row],[L_Bn]],"#0,#0")&amp;" x "&amp;TEXT(TabTRADER[[#This Row],[L_Bp]],"#,#0.#0"),               TRUE,"")</f>
        <v>500 x 270.04</v>
      </c>
      <c r="AG3" s="1177"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1018.8441000000031</v>
      </c>
      <c r="AH3" s="1177"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1018.8441000000031</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7.5655458450600141E-3</v>
      </c>
      <c r="AK3" s="1186"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 s="825" t="str" cm="1">
        <f t="array" aca="1" ref="AL3" ca="1">_xlfn.IFS(   TabTRADER[[#This Row],[Traps]]=SellMorePercentGain,                     MIN(TabTRADER[[#This Row],[L_Sn]],TabTRADER[[#This Row],[N]])*(TabTRADER[[#This Row],[M]]-TabTRADER[[#This Row],[L_Sp]])*(1-Commission)*TabTRADER[[#This Row],[Scale]],                    TRUE,"")</f>
        <v/>
      </c>
      <c r="AM3" s="1175">
        <f ca="1">_xlfn.XLOOKUP(TabTRADER[[#This Row],[ClickTick]],TabCalc[Ticker],TabCalc[Ann%RevLB])</f>
        <v>1.1285562530178659</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t="str" cm="1">
        <f t="array" aca="1" ref="AQ3" ca="1">_xlfn.IFS(   TabTRADER[[#This Row],[Traps]]=MUp,TabTRADER[[#This Row],[TakeGain_A]]-Commission,        TabTRADER[[#This Row],[Traps]]=MDown,(TabTRADER[[#This Row],[A]]-TabTRADER[[#This Row],[M]])/TabTRADER[[#This Row],[M]]-Commission,                              TRUE,"")</f>
        <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530411.2258860002</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65" cm="1">
        <f t="array" aca="1" ref="AU3" ca="1">_xlfn.IFS(TabTRADER[[#This Row],[Traps]]=ReSaleGain,"",         TabTRADER[[#This Row],[Traps]]=MDown, (TabTRADER[[#This Row],[M]]-TabTRADER[[#This Row],[A]])/TabTRADER[[#This Row],[A]]*ComFactor,             TRUE, IFERROR((TabTRADER[[#This Row],[M]]-TabTRADER[[#This Row],[A]])/TabTRADER[[#This Row],[A]]*ComFactor,""))</f>
        <v>0.26333885514991912</v>
      </c>
      <c r="AV3" s="762" cm="1">
        <f t="array" aca="1" ref="AV3" ca="1">_xlfn.IFS(               TabTRADER[[#This Row],[Traps]]=NoStock,(TabTRADER[[#This Row],[L_Sp]]-TabTRADER[[#This Row],[M]])/TabTRADER[[#This Row],[M]]-Commission,             TabTRADER[[#This Row],[A]]&lt;&gt;0,(TabTRADER[[#This Row],[A]]-TabTRADER[[#This Row],[M]])/TabTRADER[[#This Row],[M]]-Commission)</f>
        <v>-0.21147660761324322</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7.5655458450600141E-3</v>
      </c>
      <c r="AZ3" s="729">
        <f ca="1">TabTRADER[[#This Row],[L_Sn]]*(TabTRADER[[#This Row],[M]]-TabTRADER[[#This Row],[L_Sp]])*(1-Commission)*TabTRADER[[#This Row],[Scale]]</f>
        <v>-1018.8441000000031</v>
      </c>
      <c r="BA3" s="692">
        <f ca="1">TabTRADER[[#This Row],[L_Sn]]*(TabTRADER[[#This Row],[Agiotage]]-TabTRADER[[#This Row],[M]])/(TabTRADER[[#This Row],[L_Bn]]*TabTRADER[[#This Row],[M]])</f>
        <v>-2.4929699767108446</v>
      </c>
      <c r="BB3" s="635">
        <f ca="1">IFERROR((TabTRADER[[#This Row],[M]]-TabTRADER[[#This Row],[A]])/TabTRADER[[#This Row],[A]],0)</f>
        <v>0.26402532098447878</v>
      </c>
      <c r="BC3" s="638" t="str">
        <f ca="1">TEXT(_xlfn.XLOOKUP(TabTRADER[[#This Row],[ClickTick]],TabCalc[Ticker],TabCalc[NAfter]),"#,#0")&amp;" : "&amp;TEXT(_xlfn.XLOOKUP(TabTRADER[[#This Row],[ClickTick]],TabCalc[Ticker],TabCalc[NAfter])*(TabTRADER[[#This Row],[M]]-TabTRADER[[#This Row],[A]])*(1-Commission)*TabTRADER[[#This Row],[Scale]],"#,#0$")</f>
        <v>9,500 : 530,411$</v>
      </c>
      <c r="BD3" s="684">
        <f ca="1">_xlfn.XLOOKUP(TabTRADER[[#This Row],[ClickTick]],TabCalc[[#This Row],[Ticker]],TabCalc[[#This Row],[GL]])*(1-Commission)</f>
        <v>1130138.3556250001</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 s="679">
        <f ca="1">TabTRADER[[#This Row],[L_Sn]]*TabTRADER[[#This Row],[L_Sp]]+TabTRADER[[#This Row],[SellMore]]*TabTRADER[[#This Row],[M]]</f>
        <v>188619.4</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269.45628571428568</v>
      </c>
      <c r="BN3" s="687">
        <f ca="1">((_xlfn.XLOOKUP(TabTRADER[[#This Row],[ClickTick]],TabCalc[Ticker],TabCalc[NAfter])+TabTRADER[[#This Row],[L_Sn]])*(TabTRADER[[#This Row],[Agiotage]]-TabTRADER[[#This Row],[M]]))/(TabTRADER[[#This Row],[L_Sn]]*_xlfn.XLOOKUP(TabTRADER[[#This Row],[ClickTick]],TabCalc[Ticker],TabCalc[NAfter]))</f>
        <v>-0.56261766303038008</v>
      </c>
      <c r="BO3" s="687">
        <f ca="1">(TabTRADER[[#This Row],[M]]-TabTRADER[[#This Row],[Agiotage]])/(TabTRADER[[#This Row],[M]]-TabTRADER[[#This Row],[A]])-1</f>
        <v>3.7740529783533026</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-39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1,776</v>
      </c>
      <c r="F4" s="226" t="str">
        <f ca="1">TRUNC(TabCalc[[#This Row],[L_B1p]],2)&amp;"x"&amp;TabCalc[[#This Row],[L_B1n]]&amp;"=   "&amp;TEXT(TabCalc[[#This Row],[ReverseS1]],"#,#0")&amp;"$"</f>
        <v>-13.02x2800=   2,870$</v>
      </c>
      <c r="G4" s="225" t="str">
        <f ca="1">IFERROR(TRUNC(_xlfn.XLOOKUP(TabTRADER[[#This Row],[ClickTick]],TabCalc[Ticker],ListLastSalep),2)&amp;"x"&amp;_xlfn.XLOOKUP(TabTRADER[[#This Row],[ClickTick]],TabCalc[Ticker],ListLastSalen)&amp;"=   "&amp;TEXT(-_xlfn.XLOOKUP(TabTRADER[[#This Row],[ClickTick]],TabCalc[Ticker],ListReverseB),"#,#0")&amp;"$","")</f>
        <v>16.86x1000=   -2,815$</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1,776</v>
      </c>
      <c r="I4" s="226" t="str">
        <f ca="1">IFERROR(TRUNC(TabCalc[[#This Row],[L_S1p]],2)&amp;"x"&amp;TabCalc[[#This Row],[L_S1n]]&amp;"=   "&amp;TEXT(TabCalc[[#This Row],[ReverseB1]],"#,#0"),"")</f>
        <v>16.67x2990=   7,849</v>
      </c>
      <c r="J4" s="295">
        <f ca="1">_xlfn.XLOOKUP(TabTRADER[[#This Row],[ClickTick]],TabCalc[Ticker],ListGravity)</f>
        <v>1.4714610181559273</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1.3883562973538</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-1.4385964912280707E-2</v>
      </c>
      <c r="S4" s="683">
        <f ca="1">_xlfn.XLOOKUP(TabTRADER[[#This Row],[ClickTick]],TabCalc[Ticker],TabCalc[Rev(MinStock)])*(1-Commission)</f>
        <v>-38.848730000000018</v>
      </c>
      <c r="T4" s="782">
        <f ca="1">_xlfn.XLOOKUP(TabTRADER[[#This Row],[ClickTick]],TabCalc[Ticker],TabCalc[Agiotage])</f>
        <v>1.3883562973538</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1,175/1,175=&gt;0.3% / 0.3%</v>
      </c>
      <c r="V4" s="739" t="str">
        <f ca="1">_xlfn.XLOOKUP(TabTRADER[[#This Row],[ClickTick]],[1]!RTData[Ticker_Symbol],[1]!RTData[Currency])</f>
        <v>USD</v>
      </c>
      <c r="W4" s="749">
        <f ca="1">_xlfn.XLOOKUP(TabTRADER[[#This Row],[ClickTick]],TabCalc[Ticker],TabCalc[M])</f>
        <v>14.045</v>
      </c>
      <c r="X4" s="1343"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^41/70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2807.6809999999996</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2807.6809999999996</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0.16696322657176749</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-4.5831392640894281E-2</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4838.4871400000056</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7.4012520899013307E-2</v>
      </c>
      <c r="AV4" s="762" cm="1">
        <f t="array" aca="1" ref="AV4" ca="1">_xlfn.IFS(               TabTRADER[[#This Row],[Traps]]=NoStock,(TabTRADER[[#This Row],[L_Sp]]-TabTRADER[[#This Row],[M]])/TabTRADER[[#This Row],[M]]-Commission,             TabTRADER[[#This Row],[A]]&lt;&gt;0,(TabTRADER[[#This Row],[A]]-TabTRADER[[#This Row],[M]])/TabTRADER[[#This Row],[M]]-Commission)</f>
        <v>-7.1679387682449358E-2</v>
      </c>
      <c r="AW4" s="324">
        <f ca="1">_xlfn.XLOOKUP(TabTRADER[[#This Row],[ClickTick]],TabCalc[Ticker],TabCalc[L_Sn])</f>
        <v>1000</v>
      </c>
      <c r="AX4" s="728">
        <f ca="1">_xlfn.XLOOKUP(TabTRADER[[#This Row],[ClickTick]],TabCalc[Ticker],TabCalc[L_Sp])</f>
        <v>16.86</v>
      </c>
      <c r="AY4" s="764">
        <f ca="1">-IFERROR((TabTRADER[[#This Row],[M]]-TabTRADER[[#This Row],[L_Sp]])/TabTRADER[[#This Row],[L_Sp]],0)</f>
        <v>0.16696322657176749</v>
      </c>
      <c r="AZ4" s="729">
        <f ca="1">TabTRADER[[#This Row],[L_Sn]]*(TabTRADER[[#This Row],[M]]-TabTRADER[[#This Row],[L_Sp]])*(1-Commission)*TabTRADER[[#This Row],[Scale]]</f>
        <v>-2807.6809999999996</v>
      </c>
      <c r="BA4" s="692">
        <f ca="1">TabTRADER[[#This Row],[L_Sn]]*(TabTRADER[[#This Row],[Agiotage]]-TabTRADER[[#This Row],[M]])/(TabTRADER[[#This Row],[L_Bn]]*TabTRADER[[#This Row],[M]])</f>
        <v>-4.7428917212142165</v>
      </c>
      <c r="BB4" s="635">
        <f ca="1">IFERROR((TabTRADER[[#This Row],[M]]-TabTRADER[[#This Row],[A]])/TabTRADER[[#This Row],[A]],0)</f>
        <v>7.4205455082227104E-2</v>
      </c>
      <c r="BC4" s="638" t="str">
        <f ca="1">TEXT(_xlfn.XLOOKUP(TabTRADER[[#This Row],[ClickTick]],TabCalc[Ticker],TabCalc[NAfter]),"#,#0")&amp;" : "&amp;TEXT(_xlfn.XLOOKUP(TabTRADER[[#This Row],[ClickTick]],TabCalc[Ticker],TabCalc[NAfter])*(TabTRADER[[#This Row],[M]]-TabTRADER[[#This Row],[A]])*(1-Commission)*TabTRADER[[#This Row],[Scale]],"#,#0$")</f>
        <v>5,000 : 4,838$</v>
      </c>
      <c r="BD4" s="684">
        <f ca="1">_xlfn.XLOOKUP(TabTRADER[[#This Row],[ClickTick]],TabCalc[[#This Row],[Ticker]],TabCalc[[#This Row],[GL]])*(1-Commission)</f>
        <v>40535.428135046808</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45090.45</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56">
        <f ca="1">TabTRADER[[#This Row],[ReBuy]]/(TabTRADER[[#This Row],[L_Sn]]+TabTRADER[[#This Row],[SellMore]])</f>
        <v>14.980215946843852</v>
      </c>
      <c r="BN4" s="687">
        <f ca="1">((_xlfn.XLOOKUP(TabTRADER[[#This Row],[ClickTick]],TabCalc[Ticker],TabCalc[NAfter])+TabTRADER[[#This Row],[L_Sn]])*(TabTRADER[[#This Row],[Agiotage]]-TabTRADER[[#This Row],[M]]))/(TabTRADER[[#This Row],[L_Sn]]*_xlfn.XLOOKUP(TabTRADER[[#This Row],[ClickTick]],TabCalc[Ticker],TabCalc[NAfter]))</f>
        <v>-1.5187972443175442E-2</v>
      </c>
      <c r="BO4" s="687">
        <f ca="1">(TabTRADER[[#This Row],[M]]-TabTRADER[[#This Row],[Agiotage]])/(TabTRADER[[#This Row],[M]]-TabTRADER[[#This Row],[A]])-1</f>
        <v>12.045127602653196</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-90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-110$</v>
      </c>
      <c r="G5" s="225" t="str">
        <f ca="1">IFERROR(TRUNC(_xlfn.XLOOKUP(TabTRADER[[#This Row],[ClickTick]],TabCalc[Ticker],ListLastSalep),2)&amp;"x"&amp;_xlfn.XLOOKUP(TabTRADER[[#This Row],[ClickTick]],TabCalc[Ticker],ListLastSalen)&amp;"=   "&amp;TEXT(-_xlfn.XLOOKUP(TabTRADER[[#This Row],[ClickTick]],TabCalc[Ticker],ListReverseB),"#,#0")&amp;"$","")</f>
        <v>52.01x20000=   -1,462$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16.4% = 684</v>
      </c>
      <c r="I5" s="226" t="str">
        <f ca="1">IFERROR(TRUNC(TabCalc[[#This Row],[L_S1p]],2)&amp;"x"&amp;TabCalc[[#This Row],[L_S1n]]&amp;"=   "&amp;TEXT(TabCalc[[#This Row],[ReverseB1]],"#,#0"),"")</f>
        <v>53.62x90000=   8,028</v>
      </c>
      <c r="J5" s="295">
        <f ca="1">_xlfn.XLOOKUP(TabTRADER[[#This Row],[ClickTick]],TabCalc[Ticker],ListGravity)</f>
        <v>2.1624161073825503</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187740</v>
      </c>
      <c r="M5" s="323">
        <f ca="1">_xlfn.XLOOKUP(TabTRADER[[#This Row],[ClickTick]],TabCalc[Ticker],TabCalc[Agiotage])</f>
        <v>0.22856548590445105</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-1.9736842105263126E-2</v>
      </c>
      <c r="S5" s="683">
        <f ca="1">_xlfn.XLOOKUP(TabTRADER[[#This Row],[ClickTick]],TabCalc[Ticker],TabCalc[Rev(MinStock)])*(1-Commission)</f>
        <v>-89.765999999999849</v>
      </c>
      <c r="T5" s="782">
        <f ca="1">_xlfn.XLOOKUP(TabTRADER[[#This Row],[ClickTick]],TabCalc[Ticker],TabCalc[Agiotage])</f>
        <v>0.22856548590445105</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5" s="739" t="str">
        <f ca="1">_xlfn.XLOOKUP(TabTRADER[[#This Row],[ClickTick]],[1]!RTData[Ticker_Symbol],[1]!RTData[Currency])</f>
        <v>GBp</v>
      </c>
      <c r="W5" s="1068">
        <f ca="1">_xlfn.XLOOKUP(TabTRADER[[#This Row],[ClickTick]],TabCalc[Ticker],TabCalc[M])</f>
        <v>44.7</v>
      </c>
      <c r="X5" s="1343"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^24/367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76" t="str" cm="1">
        <f t="array" aca="1" ref="AF5" ca="1">_xlfn.IFS(       TabTRADER[[#This Row],[Traps]]=RePurchaseGain,TEXT(TabTRADER[[#This Row],[L_Sn]],"#,#0")&amp;" x "&amp;TEXT(TabTRADER[[#This Row],[L_Sp]],"#,#0.#0"),     TabTRADER[[#This Row],[Traps]]=ReSaleGain,TEXT(TabTRADER[[#This Row],[L_Bn]],"#0,#0")&amp;" x "&amp;TEXT(TabTRADER[[#This Row],[L_Bp]],"#,#0.#0"),               TRUE,"")</f>
        <v/>
      </c>
      <c r="AG5" s="1177"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77"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89.765999999999863</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366540</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9.2146664745970011E-2</v>
      </c>
      <c r="AK5" s="1186"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1.7534228187919429E-2</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-0.26315789473684165</v>
      </c>
      <c r="AN5" s="1192">
        <f ca="1">_xlfn.XLOOKUP(TabTRADER[[#This Row],[ClickTick]],TabCalc[Ticker],TabCalc[Up20])</f>
        <v>0</v>
      </c>
      <c r="AO5" s="125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2.0134228187919431E-2</v>
      </c>
      <c r="AP5" s="825" cm="1">
        <f t="array" aca="1" ref="AP5" ca="1">_xlfn.IFS(         TabTRADER[[#This Row],[Traps]]=MDown,TabTRADER[[#This Row],[L_Bn]]*TabTRADER[[#This Row],[M]]*(-(TabTRADER[[#This Row],[L_Bp]]+TabTRADER[[#This Row],[M]])/TabTRADER[[#This Row],[M]])*(1-Commission)*TabTRADER[[#This Row],[Scale]],                               TRUE,"")</f>
        <v>89.765999999999863</v>
      </c>
      <c r="AQ5" s="1186" cm="1">
        <f t="array" aca="1" ref="AQ5" ca="1">_xlfn.IFS(   TabTRADER[[#This Row],[Traps]]=MUp,TabTRADER[[#This Row],[TakeGain_A]]-Commission,        TabTRADER[[#This Row],[Traps]]=MDown,(TabTRADER[[#This Row],[A]]-TabTRADER[[#This Row],[M]])/TabTRADER[[#This Row],[M]]-Commission,                              TRUE,"")</f>
        <v>9.8899505666502935E-2</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37106.899372101791</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5" s="736"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-8.8999999999999999E-3</v>
      </c>
      <c r="AU5" s="765" cm="1">
        <f t="array" aca="1" ref="AU5" ca="1">_xlfn.IFS(TabTRADER[[#This Row],[Traps]]=ReSaleGain,"",         TabTRADER[[#This Row],[Traps]]=MDown, (TabTRADER[[#This Row],[M]]-TabTRADER[[#This Row],[A]])/TabTRADER[[#This Row],[A]]*ComFactor,             TRUE, IFERROR((TabTRADER[[#This Row],[M]]-TabTRADER[[#This Row],[A]])/TabTRADER[[#This Row],[A]]*ComFactor,""))</f>
        <v>-9.1907083417630486E-2</v>
      </c>
      <c r="AV5" s="762" cm="1">
        <f t="array" aca="1" ref="AV5" ca="1">_xlfn.IFS(               TabTRADER[[#This Row],[Traps]]=NoStock,(TabTRADER[[#This Row],[L_Sp]]-TabTRADER[[#This Row],[M]])/TabTRADER[[#This Row],[M]]-Commission,             TabTRADER[[#This Row],[A]]&lt;&gt;0,(TabTRADER[[#This Row],[A]]-TabTRADER[[#This Row],[M]])/TabTRADER[[#This Row],[M]]-Commission)</f>
        <v>9.8899505666502935E-2</v>
      </c>
      <c r="AW5" s="324">
        <f ca="1">_xlfn.XLOOKUP(TabTRADER[[#This Row],[ClickTick]],TabCalc[Ticker],TabCalc[L_Sn])</f>
        <v>20000</v>
      </c>
      <c r="AX5" s="728">
        <f ca="1">_xlfn.XLOOKUP(TabTRADER[[#This Row],[ClickTick]],TabCalc[Ticker],TabCalc[L_Sp])</f>
        <v>52.01</v>
      </c>
      <c r="AY5" s="764">
        <f ca="1">-IFERROR((TabTRADER[[#This Row],[M]]-TabTRADER[[#This Row],[L_Sp]])/TabTRADER[[#This Row],[L_Sp]],0)</f>
        <v>0.14054989425110548</v>
      </c>
      <c r="AZ5" s="729">
        <f ca="1">TabTRADER[[#This Row],[L_Sn]]*(TabTRADER[[#This Row],[M]]-TabTRADER[[#This Row],[L_Sp]])*(1-Commission)*TabTRADER[[#This Row],[Scale]]</f>
        <v>-1458.1987999999992</v>
      </c>
      <c r="BA5" s="692">
        <f ca="1">TabTRADER[[#This Row],[L_Sn]]*(TabTRADER[[#This Row],[Agiotage]]-TabTRADER[[#This Row],[M]])/(TabTRADER[[#This Row],[L_Bn]]*TabTRADER[[#This Row],[M]])</f>
        <v>-1.9897733563353712</v>
      </c>
      <c r="BB5" s="635">
        <f ca="1">IFERROR((TabTRADER[[#This Row],[M]]-TabTRADER[[#This Row],[A]])/TabTRADER[[#This Row],[A]],0)</f>
        <v>-9.2146664745970011E-2</v>
      </c>
      <c r="BC5" s="638" t="str">
        <f ca="1">TEXT(_xlfn.XLOOKUP(TabTRADER[[#This Row],[ClickTick]],TabCalc[Ticker],TabCalc[NAfter]),"#,#0")&amp;" : "&amp;TEXT(_xlfn.XLOOKUP(TabTRADER[[#This Row],[ClickTick]],TabCalc[Ticker],TabCalc[NAfter])*(TabTRADER[[#This Row],[M]]-TabTRADER[[#This Row],[A]])*(1-Commission)*TabTRADER[[#This Row],[Scale]],"#,#0$")</f>
        <v>820,000 : -37,107$</v>
      </c>
      <c r="BD5" s="684">
        <f ca="1">_xlfn.XLOOKUP(TabTRADER[[#This Row],[ClickTick]],TabCalc[[#This Row],[Ticker]],TabCalc[[#This Row],[GL]])*(1-Commission)</f>
        <v>23717.13888609819</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2.0134228187919431E-2</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-2.2778051824292839E-3</v>
      </c>
      <c r="BO5" s="687">
        <f ca="1">(TabTRADER[[#This Row],[M]]-TabTRADER[[#This Row],[Agiotage]])/(TabTRADER[[#This Row],[M]]-TabTRADER[[#This Row],[A]])-1</f>
        <v>-10.801886931711628</v>
      </c>
      <c r="BP5" s="1277">
        <f ca="1">_xlfn.XMATCH(TabTRADER[[#This Row],[ClickTick]]&amp;1, TabConsolid[#Headers])</f>
        <v>8</v>
      </c>
      <c r="BQ5" t="str">
        <f ca="1">IF(ABS(TabTRADER[[#This Row],[L_Bp]])&gt;=TabTRADER[[#This Row],[M]],"OK")</f>
        <v>OK</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+59,080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12.1%</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169/12,000=41,395</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15,790$</v>
      </c>
      <c r="G6" s="225" t="str">
        <f ca="1">IFERROR(TRUNC(_xlfn.XLOOKUP(TabTRADER[[#This Row],[ClickTick]],TabCalc[Ticker],ListLastSalep),2)&amp;"x"&amp;_xlfn.XLOOKUP(TabTRADER[[#This Row],[ClickTick]],TabCalc[Ticker],ListLastSalen)&amp;"=   "&amp;TEXT(-_xlfn.XLOOKUP(TabTRADER[[#This Row],[ClickTick]],TabCalc[Ticker],ListReverseB),"#,#0")&amp;"$","")</f>
        <v>221.51x200=   4,609$</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0</v>
      </c>
      <c r="I6" s="226" t="str">
        <f ca="1">IFERROR(TRUNC(TabCalc[[#This Row],[L_S1p]],2)&amp;"x"&amp;TabCalc[[#This Row],[L_S1n]]&amp;"=   "&amp;TEXT(TabCalc[[#This Row],[ReverseB1]],"#,#0"),"")</f>
        <v>234.24x500=   -5,160</v>
      </c>
      <c r="J6" s="295">
        <f ca="1">_xlfn.XLOOKUP(TabTRADER[[#This Row],[ClickTick]],TabCalc[Ticker],ListGravity)</f>
        <v>1.1793592574419365</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978240</v>
      </c>
      <c r="M6" s="323">
        <f ca="1">_xlfn.XLOOKUP(TabTRADER[[#This Row],[ClickTick]],TabCalc[Ticker],TabCalc[Agiotage])</f>
        <v>0.6942070189669548</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0.1373825690633429</v>
      </c>
      <c r="S6" s="683">
        <f ca="1">_xlfn.XLOOKUP(TabTRADER[[#This Row],[ClickTick]],TabCalc[Ticker],TabCalc[Rev(MinStock)])*(1-Commission)</f>
        <v>58926.391999999985</v>
      </c>
      <c r="T6" s="782">
        <f ca="1">_xlfn.XLOOKUP(TabTRADER[[#This Row],[ClickTick]],TabCalc[Ticker],TabCalc[Agiotage])</f>
        <v>0.6942070189669548</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18,720/18,720=&gt;0.6% / 0.6%</v>
      </c>
      <c r="V6" s="739" t="str">
        <f ca="1">_xlfn.XLOOKUP(TabTRADER[[#This Row],[ClickTick]],[1]!RTData[Ticker_Symbol],[1]!RTData[Currency])</f>
        <v>USD</v>
      </c>
      <c r="W6" s="708">
        <f ca="1">_xlfn.XLOOKUP(TabTRADER[[#This Row],[ClickTick]],TabCalc[Ticker],TabCalc[M])</f>
        <v>244.56</v>
      </c>
      <c r="X6" s="1343"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^972/2,935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4597.0166000000036</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495525.49522799987</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0.20378877454662073</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9.1630454694144645E-2</v>
      </c>
      <c r="AL6" s="825" cm="1">
        <f t="array" aca="1" ref="AL6" ca="1">_xlfn.IFS(   TabTRADER[[#This Row],[Traps]]=SellMorePercentGain,                     MIN(TabTRADER[[#This Row],[L_Sn]],TabTRADER[[#This Row],[N]])*(TabTRADER[[#This Row],[M]]-TabTRADER[[#This Row],[L_Sp]])*(1-Commission)*TabTRADER[[#This Row],[Scale]],                    TRUE,"")</f>
        <v>4597.0166000000036</v>
      </c>
      <c r="AM6" s="1175">
        <f ca="1">_xlfn.XLOOKUP(TabTRADER[[#This Row],[ClickTick]],TabCalc[Ticker],TabCalc[Ann%RevLB])</f>
        <v>0.50467066186534126</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0.20118877454662074</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596508.02865712135</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2,000x41.4</v>
      </c>
      <c r="AU6" s="765" cm="1">
        <f t="array" aca="1" ref="AU6" ca="1">_xlfn.IFS(TabTRADER[[#This Row],[Traps]]=ReSaleGain,"",         TabTRADER[[#This Row],[Traps]]=MDown, (TabTRADER[[#This Row],[M]]-TabTRADER[[#This Row],[A]])/TabTRADER[[#This Row],[A]]*ComFactor,             TRUE, IFERROR((TabTRADER[[#This Row],[M]]-TabTRADER[[#This Row],[A]])/TabTRADER[[#This Row],[A]]*ComFactor,""))</f>
        <v>0.2032589237327995</v>
      </c>
      <c r="AV6" s="762" cm="1">
        <f t="array" aca="1" ref="AV6" ca="1">_xlfn.IFS(               TabTRADER[[#This Row],[Traps]]=NoStock,(TabTRADER[[#This Row],[L_Sp]]-TabTRADER[[#This Row],[M]])/TabTRADER[[#This Row],[M]]-Commission,             TabTRADER[[#This Row],[A]]&lt;&gt;0,(TabTRADER[[#This Row],[A]]-TabTRADER[[#This Row],[M]])/TabTRADER[[#This Row],[M]]-Commission)</f>
        <v>-0.17188947906444221</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-0.10403358689027839</v>
      </c>
      <c r="AZ6" s="729">
        <f ca="1">TabTRADER[[#This Row],[L_Sn]]*(TabTRADER[[#This Row],[M]]-TabTRADER[[#This Row],[L_Sp]])*(1-Commission)*TabTRADER[[#This Row],[Scale]]</f>
        <v>4597.0166000000036</v>
      </c>
      <c r="BA6" s="692">
        <f ca="1">TabTRADER[[#This Row],[L_Sn]]*(TabTRADER[[#This Row],[Agiotage]]-TabTRADER[[#This Row],[M]])/(TabTRADER[[#This Row],[L_Bn]]*TabTRADER[[#This Row],[M]])</f>
        <v>-9.9716140407684437E-2</v>
      </c>
      <c r="BB6" s="635">
        <f ca="1">IFERROR((TabTRADER[[#This Row],[M]]-TabTRADER[[#This Row],[A]])/TabTRADER[[#This Row],[A]],0)</f>
        <v>0.20378877454662073</v>
      </c>
      <c r="BC6" s="638" t="str">
        <f ca="1">TEXT(_xlfn.XLOOKUP(TabTRADER[[#This Row],[ClickTick]],TabCalc[Ticker],TabCalc[NAfter]),"#,#0")&amp;" : "&amp;TEXT(_xlfn.XLOOKUP(TabTRADER[[#This Row],[ClickTick]],TabCalc[Ticker],TabCalc[NAfter])*(TabTRADER[[#This Row],[M]]-TabTRADER[[#This Row],[A]])*(1-Commission)*TabTRADER[[#This Row],[Scale]],"#,#0$")</f>
        <v>12,000 : 495,525$</v>
      </c>
      <c r="BD6" s="684">
        <f ca="1">_xlfn.XLOOKUP(TabTRADER[[#This Row],[ClickTick]],TabCalc[[#This Row],[Ticker]],TabCalc[[#This Row],[GL]])*(1-Commission)</f>
        <v>969827.65497199993</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9.423045469414465E-2</v>
      </c>
      <c r="BJ6" s="679">
        <f ca="1">TabTRADER[[#This Row],[L_Sn]]*TabTRADER[[#This Row],[L_Sp]]+TabTRADER[[#This Row],[SellMore]]*TabTRADER[[#This Row],[M]]</f>
        <v>142127</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236.87833333333333</v>
      </c>
      <c r="BN6" s="687">
        <f ca="1">((_xlfn.XLOOKUP(TabTRADER[[#This Row],[ClickTick]],TabCalc[Ticker],TabCalc[NAfter])+TabTRADER[[#This Row],[L_Sn]])*(TabTRADER[[#This Row],[Agiotage]]-TabTRADER[[#This Row],[M]]))/(TabTRADER[[#This Row],[L_Sn]]*_xlfn.XLOOKUP(TabTRADER[[#This Row],[ClickTick]],TabCalc[Ticker],TabCalc[NAfter]))</f>
        <v>-1.2396511143202513</v>
      </c>
      <c r="BO6" s="687">
        <f ca="1">(TabTRADER[[#This Row],[M]]-TabTRADER[[#This Row],[Agiotage]])/(TabTRADER[[#This Row],[M]]-TabTRADER[[#This Row],[A]])-1</f>
        <v>4.890273923622046</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-2,250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-19.2%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-6,300$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1.9658076923076924</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63921</v>
      </c>
      <c r="M7" s="323">
        <f ca="1">_xlfn.XLOOKUP(TabTRADER[[#This Row],[ClickTick]],TabCalc[Ticker],TabCalc[Agiotage])</f>
        <v>0.32673879443585779</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-0.16129032258064518</v>
      </c>
      <c r="S7" s="683">
        <f ca="1">_xlfn.XLOOKUP(TabTRADER[[#This Row],[ClickTick]],TabCalc[Ticker],TabCalc[Rev(MinStock)])*(1-Commission)</f>
        <v>-2244.1500000000005</v>
      </c>
      <c r="T7" s="782">
        <f ca="1">_xlfn.XLOOKUP(TabTRADER[[#This Row],[ClickTick]],TabCalc[Ticker],TabCalc[Agiotage])</f>
        <v>0.32673879443585779</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7" s="739" t="str">
        <f ca="1">_xlfn.XLOOKUP(TabTRADER[[#This Row],[ClickTick]],[1]!RTData[Ticker_Symbol],[1]!RTData[Currency])</f>
        <v>EUR</v>
      </c>
      <c r="W7" s="749">
        <f ca="1">_xlfn.XLOOKUP(TabTRADER[[#This Row],[ClickTick]],TabCalc[Ticker],TabCalc[M])</f>
        <v>0.78</v>
      </c>
      <c r="X7" s="1343"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-979/1,973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2244.1500000000005</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1973400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0.33159939845323316</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0.18970769230769233</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-0.24813895781637721</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0.19230769230769232</v>
      </c>
      <c r="AP7" s="825" cm="1">
        <f t="array" aca="1" ref="AP7" ca="1">_xlfn.IFS(         TabTRADER[[#This Row],[Traps]]=MDown,TabTRADER[[#This Row],[L_Bn]]*TabTRADER[[#This Row],[M]]*(-(TabTRADER[[#This Row],[L_Bp]]+TabTRADER[[#This Row],[M]])/TabTRADER[[#This Row],[M]])*(1-Commission)*TabTRADER[[#This Row],[Scale]],                               TRUE,"")</f>
        <v>2244.15</v>
      </c>
      <c r="AQ7" s="1186" cm="1">
        <f t="array" aca="1" ref="AQ7" ca="1">_xlfn.IFS(   TabTRADER[[#This Row],[Traps]]=MUp,TabTRADER[[#This Row],[TakeGain_A]]-Commission,        TabTRADER[[#This Row],[Traps]]=MDown,(TabTRADER[[#This Row],[A]]-TabTRADER[[#This Row],[M]])/TabTRADER[[#This Row],[M]]-Commission,                              TRUE,"")</f>
        <v>0.49350876723609854</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976475.58655643114</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-0.15</v>
      </c>
      <c r="AU7" s="765" cm="1">
        <f t="array" aca="1" ref="AU7" ca="1">_xlfn.IFS(TabTRADER[[#This Row],[Traps]]=ReSaleGain,"",         TabTRADER[[#This Row],[Traps]]=MDown, (TabTRADER[[#This Row],[M]]-TabTRADER[[#This Row],[A]])/TabTRADER[[#This Row],[A]]*ComFactor,             TRUE, IFERROR((TabTRADER[[#This Row],[M]]-TabTRADER[[#This Row],[A]])/TabTRADER[[#This Row],[A]]*ComFactor,""))</f>
        <v>-0.33073724001725474</v>
      </c>
      <c r="AV7" s="762" cm="1">
        <f t="array" aca="1" ref="AV7" ca="1">_xlfn.IFS(               TabTRADER[[#This Row],[Traps]]=NoStock,(TabTRADER[[#This Row],[L_Sp]]-TabTRADER[[#This Row],[M]])/TabTRADER[[#This Row],[M]]-Commission,             TabTRADER[[#This Row],[A]]&lt;&gt;0,(TabTRADER[[#This Row],[A]]-TabTRADER[[#This Row],[M]])/TabTRADER[[#This Row],[M]]-Commission)</f>
        <v>0.49350876723609854</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-0.33159939845323316</v>
      </c>
      <c r="BC7" s="638" t="str">
        <f ca="1">TEXT(_xlfn.XLOOKUP(TabTRADER[[#This Row],[ClickTick]],TabCalc[Ticker],TabCalc[NAfter]),"#,#0")&amp;" : "&amp;TEXT(_xlfn.XLOOKUP(TabTRADER[[#This Row],[ClickTick]],TabCalc[Ticker],TabCalc[NAfter])*(TabTRADER[[#This Row],[M]]-TabTRADER[[#This Row],[A]])*(1-Commission)*TabTRADER[[#This Row],[Scale]],"#,#0$")</f>
        <v>2,530,000 : -976,476$</v>
      </c>
      <c r="BD7" s="684">
        <f ca="1">_xlfn.XLOOKUP(TabTRADER[[#This Row],[ClickTick]],TabCalc[[#This Row],[Ticker]],TabCalc[[#This Row],[GL]])*(1-Commission)</f>
        <v>-976475.58655643102</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AMY</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0.19230769230769232</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-2.1713240081102425</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+11,380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88/3,100=76,520</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127</v>
      </c>
      <c r="F8" s="226" t="str">
        <f ca="1">TRUNC(TabCalc[[#This Row],[L_B1p]],2)&amp;"x"&amp;TabCalc[[#This Row],[L_B1n]]&amp;"=   "&amp;TEXT(TabCalc[[#This Row],[ReverseS1]],"#,#0")&amp;"$"</f>
        <v>-804.9x200=   13,180$</v>
      </c>
      <c r="G8" s="225" t="str">
        <f ca="1">IFERROR(TRUNC(_xlfn.XLOOKUP(TabTRADER[[#This Row],[ClickTick]],TabCalc[Ticker],ListLastSalep),2)&amp;"x"&amp;_xlfn.XLOOKUP(TabTRADER[[#This Row],[ClickTick]],TabCalc[Ticker],ListLastSalen)&amp;"=   "&amp;TEXT(-_xlfn.XLOOKUP(TabTRADER[[#This Row],[ClickTick]],TabCalc[Ticker],ListReverseB),"#,#0")&amp;"$","")</f>
        <v>910.25x100=   -3,945$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127</v>
      </c>
      <c r="I8" s="226" t="str">
        <f ca="1">IFERROR(TRUNC(TabCalc[[#This Row],[L_S1p]],2)&amp;"x"&amp;TabCalc[[#This Row],[L_S1n]]&amp;"=   "&amp;TEXT(TabCalc[[#This Row],[ReverseB1]],"#,#0"),"")</f>
        <v>894.75x100=   2,395</v>
      </c>
      <c r="J8" s="295">
        <f ca="1">_xlfn.XLOOKUP(TabTRADER[[#This Row],[ClickTick]],TabCalc[Ticker],ListGravity)</f>
        <v>1.08165280202113</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2264080</v>
      </c>
      <c r="M8" s="323">
        <f ca="1">_xlfn.XLOOKUP(TabTRADER[[#This Row],[ClickTick]],TabCalc[Ticker],TabCalc[Agiotage])</f>
        <v>1.4227731762002704</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6.9910308391694279E-2</v>
      </c>
      <c r="S8" s="683">
        <f ca="1">_xlfn.XLOOKUP(TabTRADER[[#This Row],[ClickTick]],TabCalc[Ticker],TabCalc[Rev(MinStock)])*(1-Commission)</f>
        <v>11350.411999999997</v>
      </c>
      <c r="T8" s="782">
        <f ca="1">_xlfn.XLOOKUP(TabTRADER[[#This Row],[ClickTick]],TabCalc[Ticker],TabCalc[Agiotage])</f>
        <v>1.4227731762002704</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-87,420/-87,420=&gt;-2.7% / -2.7%</v>
      </c>
      <c r="V8" s="739" t="str">
        <f ca="1">_xlfn.XLOOKUP(TabTRADER[[#This Row],[ClickTick]],[1]!RTData[Ticker_Symbol],[1]!RTData[Currency])</f>
        <v>EUR</v>
      </c>
      <c r="W8" s="749">
        <f ca="1">_xlfn.XLOOKUP(TabTRADER[[#This Row],[ClickTick]],TabCalc[Ticker],TabCalc[M])</f>
        <v>870.8</v>
      </c>
      <c r="X8" s="1343"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^782/2,699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3934.7430000000045</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3934.7430000000045</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4.333974182916786E-2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0.89884682217892653</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653821.63239999977</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0.31988079594746249</v>
      </c>
      <c r="AV8" s="762" cm="1">
        <f t="array" aca="1" ref="AV8" ca="1">_xlfn.IFS(               TabTRADER[[#This Row],[Traps]]=NoStock,(TabTRADER[[#This Row],[L_Sp]]-TabTRADER[[#This Row],[M]])/TabTRADER[[#This Row],[M]]-Commission,             TabTRADER[[#This Row],[A]]&lt;&gt;0,(TabTRADER[[#This Row],[A]]-TabTRADER[[#This Row],[M]])/TabTRADER[[#This Row],[M]]-Commission)</f>
        <v>-0.24543417547083132</v>
      </c>
      <c r="AW8" s="324">
        <f ca="1">_xlfn.XLOOKUP(TabTRADER[[#This Row],[ClickTick]],TabCalc[Ticker],TabCalc[L_Sn])</f>
        <v>100</v>
      </c>
      <c r="AX8" s="728">
        <f ca="1">_xlfn.XLOOKUP(TabTRADER[[#This Row],[ClickTick]],TabCalc[Ticker],TabCalc[L_Sp])</f>
        <v>910.25</v>
      </c>
      <c r="AY8" s="764">
        <f ca="1">-IFERROR((TabTRADER[[#This Row],[M]]-TabTRADER[[#This Row],[L_Sp]])/TabTRADER[[#This Row],[L_Sp]],0)</f>
        <v>4.333974182916786E-2</v>
      </c>
      <c r="AZ8" s="729">
        <f ca="1">TabTRADER[[#This Row],[L_Sn]]*(TabTRADER[[#This Row],[M]]-TabTRADER[[#This Row],[L_Sp]])*(1-Commission)*TabTRADER[[#This Row],[Scale]]</f>
        <v>-3934.7430000000045</v>
      </c>
      <c r="BA8" s="692">
        <f ca="1">TabTRADER[[#This Row],[L_Sn]]*(TabTRADER[[#This Row],[Agiotage]]-TabTRADER[[#This Row],[M]])/(TabTRADER[[#This Row],[L_Bn]]*TabTRADER[[#This Row],[M]])</f>
        <v>-0.49918306547071645</v>
      </c>
      <c r="BB8" s="635">
        <f ca="1">IFERROR((TabTRADER[[#This Row],[M]]-TabTRADER[[#This Row],[A]])/TabTRADER[[#This Row],[A]],0)</f>
        <v>0.32071465404798727</v>
      </c>
      <c r="BC8" s="638" t="str">
        <f ca="1">TEXT(_xlfn.XLOOKUP(TabTRADER[[#This Row],[ClickTick]],TabCalc[Ticker],TabCalc[NAfter]),"#,#0")&amp;" : "&amp;TEXT(_xlfn.XLOOKUP(TabTRADER[[#This Row],[ClickTick]],TabCalc[Ticker],TabCalc[NAfter])*(TabTRADER[[#This Row],[M]]-TabTRADER[[#This Row],[A]])*(1-Commission)*TabTRADER[[#This Row],[Scale]],"#,#0$")</f>
        <v>3,100 : 653,822$</v>
      </c>
      <c r="BD8" s="684">
        <f ca="1">_xlfn.XLOOKUP(TabTRADER[[#This Row],[ClickTick]],TabCalc[[#This Row],[Ticker]],TabCalc[[#This Row],[GL]])*(1-Commission)</f>
        <v>780127.19189400005</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265185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883.95</v>
      </c>
      <c r="BN8" s="687">
        <f ca="1">((_xlfn.XLOOKUP(TabTRADER[[#This Row],[ClickTick]],TabCalc[Ticker],TabCalc[NAfter])+TabTRADER[[#This Row],[L_Sn]])*(TabTRADER[[#This Row],[Agiotage]]-TabTRADER[[#This Row],[M]]))/(TabTRADER[[#This Row],[L_Sn]]*_xlfn.XLOOKUP(TabTRADER[[#This Row],[ClickTick]],TabCalc[Ticker],TabCalc[NAfter]))</f>
        <v>-8.9742165349553513</v>
      </c>
      <c r="BO8" s="687">
        <f ca="1">(TabTRADER[[#This Row],[M]]-TabTRADER[[#This Row],[Agiotage]])/(TabTRADER[[#This Row],[M]]-TabTRADER[[#This Row],[A]])-1</f>
        <v>3.111308175654024</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+3,309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34,550$</v>
      </c>
      <c r="G9" s="225" t="str">
        <f ca="1">IFERROR(TRUNC(_xlfn.XLOOKUP(TabTRADER[[#This Row],[ClickTick]],TabCalc[Ticker],ListLastSalep),2)&amp;"x"&amp;_xlfn.XLOOKUP(TabTRADER[[#This Row],[ClickTick]],TabCalc[Ticker],ListLastSalen)&amp;"=   "&amp;TEXT(-_xlfn.XLOOKUP(TabTRADER[[#This Row],[ClickTick]],TabCalc[Ticker],ListReverseB),"#,#0")&amp;"$","")</f>
        <v>346.09x160=   207$</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9" s="226" t="str">
        <f ca="1">IFERROR(TRUNC(TabCalc[[#This Row],[L_S1p]],2)&amp;"x"&amp;TabCalc[[#This Row],[L_S1n]]&amp;"=   "&amp;TEXT(TabCalc[[#This Row],[ReverseB1]],"#,#0"),"")</f>
        <v>256.2x200=   -18,237</v>
      </c>
      <c r="J9" s="295">
        <f ca="1">_xlfn.XLOOKUP(TabTRADER[[#This Row],[ClickTick]],TabCalc[Ticker],ListGravity)</f>
        <v>1.1295296285101544</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72950.849999999991</v>
      </c>
      <c r="M9" s="323">
        <f ca="1">_xlfn.XLOOKUP(TabTRADER[[#This Row],[ClickTick]],TabCalc[Ticker],TabCalc[Agiotage])</f>
        <v>0.80981317518787777</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4.7507764677502021E-2</v>
      </c>
      <c r="S9" s="683">
        <f ca="1">_xlfn.XLOOKUP(TabTRADER[[#This Row],[ClickTick]],TabCalc[Ticker],TabCalc[Rev(MinStock)])*(1-Commission)</f>
        <v>3299.9477699999993</v>
      </c>
      <c r="T9" s="782">
        <f ca="1">_xlfn.XLOOKUP(TabTRADER[[#This Row],[ClickTick]],TabCalc[Ticker],TabCalc[Agiotage])</f>
        <v>0.80981317518787777</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-2,718/-2,718=&gt;-2.3% / -2.3%</v>
      </c>
      <c r="V9" s="739" t="str">
        <f ca="1">_xlfn.XLOOKUP(TabTRADER[[#This Row],[ClickTick]],[1]!RTData[Ticker_Symbol],[1]!RTData[Currency])</f>
        <v>USD</v>
      </c>
      <c r="W9" s="749">
        <f ca="1">_xlfn.XLOOKUP(TabTRADER[[#This Row],[ClickTick]],TabCalc[Ticker],TabCalc[M])</f>
        <v>347.38499999999999</v>
      </c>
      <c r="X9" s="1343"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^72/139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76" t="str" cm="1">
        <f t="array" aca="1" ref="AF9" ca="1">_xlfn.IFS(       TabTRADER[[#This Row],[Traps]]=RePurchaseGain,TEXT(TabTRADER[[#This Row],[L_Sn]],"#,#0")&amp;" x "&amp;TEXT(TabTRADER[[#This Row],[L_Sp]],"#,#0.#0"),     TabTRADER[[#This Row],[Traps]]=ReSaleGain,TEXT(TabTRADER[[#This Row],[L_Bn]],"#0,#0")&amp;" x "&amp;TEXT(TabTRADER[[#This Row],[L_Bp]],"#,#0.#0"),               TRUE,"")</f>
        <v/>
      </c>
      <c r="AG9" s="1177"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77"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206.66128000000253</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30581.073614650191</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0.28312755847455623</v>
      </c>
      <c r="AK9" s="1186"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1.127852382802988E-3</v>
      </c>
      <c r="AL9" s="825" cm="1">
        <f t="array" aca="1" ref="AL9" ca="1">_xlfn.IFS(   TabTRADER[[#This Row],[Traps]]=SellMorePercentGain,                     MIN(TabTRADER[[#This Row],[L_Sn]],TabTRADER[[#This Row],[N]])*(TabTRADER[[#This Row],[M]]-TabTRADER[[#This Row],[L_Sp]])*(1-Commission)*TabTRADER[[#This Row],[Scale]],                    TRUE,"")</f>
        <v>206.66128000000253</v>
      </c>
      <c r="AM9" s="1175">
        <f ca="1">_xlfn.XLOOKUP(TabTRADER[[#This Row],[ClickTick]],TabCalc[Ticker],TabCalc[Ann%RevLB])</f>
        <v>0.61081411728216883</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cm="1">
        <f t="array" aca="1" ref="AQ9" ca="1">_xlfn.IFS(   TabTRADER[[#This Row],[Traps]]=MUp,TabTRADER[[#This Row],[TakeGain_A]]-Commission,        TabTRADER[[#This Row],[Traps]]=MDown,(TabTRADER[[#This Row],[A]]-TabTRADER[[#This Row],[M]])/TabTRADER[[#This Row],[M]]-Commission,                              TRUE,"")</f>
        <v>0.28052755847455624</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39239.41832269678</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210x76.65</v>
      </c>
      <c r="AU9" s="765" cm="1">
        <f t="array" aca="1" ref="AU9" ca="1">_xlfn.IFS(TabTRADER[[#This Row],[Traps]]=ReSaleGain,"",         TabTRADER[[#This Row],[Traps]]=MDown, (TabTRADER[[#This Row],[M]]-TabTRADER[[#This Row],[A]])/TabTRADER[[#This Row],[A]]*ComFactor,             TRUE, IFERROR((TabTRADER[[#This Row],[M]]-TabTRADER[[#This Row],[A]])/TabTRADER[[#This Row],[A]]*ComFactor,""))</f>
        <v>0.28239142682252238</v>
      </c>
      <c r="AV9" s="762" cm="1">
        <f t="array" aca="1" ref="AV9" ca="1">_xlfn.IFS(               TabTRADER[[#This Row],[Traps]]=NoStock,(TabTRADER[[#This Row],[L_Sp]]-TabTRADER[[#This Row],[M]])/TabTRADER[[#This Row],[M]]-Commission,             TabTRADER[[#This Row],[A]]&lt;&gt;0,(TabTRADER[[#This Row],[A]]-TabTRADER[[#This Row],[M]])/TabTRADER[[#This Row],[M]]-Commission)</f>
        <v>-0.22325425732976376</v>
      </c>
      <c r="AW9" s="324">
        <f ca="1">_xlfn.XLOOKUP(TabTRADER[[#This Row],[ClickTick]],TabCalc[Ticker],TabCalc[L_Sn])</f>
        <v>160</v>
      </c>
      <c r="AX9" s="728">
        <f ca="1">_xlfn.XLOOKUP(TabTRADER[[#This Row],[ClickTick]],TabCalc[Ticker],TabCalc[L_Sp])</f>
        <v>346.09</v>
      </c>
      <c r="AY9" s="764">
        <f ca="1">-IFERROR((TabTRADER[[#This Row],[M]]-TabTRADER[[#This Row],[L_Sp]])/TabTRADER[[#This Row],[L_Sp]],0)</f>
        <v>-3.7418012655668063E-3</v>
      </c>
      <c r="AZ9" s="729">
        <f ca="1">TabTRADER[[#This Row],[L_Sn]]*(TabTRADER[[#This Row],[M]]-TabTRADER[[#This Row],[L_Sp]])*(1-Commission)*TabTRADER[[#This Row],[Scale]]</f>
        <v>206.66128000000253</v>
      </c>
      <c r="BA9" s="692">
        <f ca="1">TabTRADER[[#This Row],[L_Sn]]*(TabTRADER[[#This Row],[Agiotage]]-TabTRADER[[#This Row],[M]])/(TabTRADER[[#This Row],[L_Bn]]*TabTRADER[[#This Row],[M]])</f>
        <v>-0.76012863307240353</v>
      </c>
      <c r="BB9" s="635">
        <f ca="1">IFERROR((TabTRADER[[#This Row],[M]]-TabTRADER[[#This Row],[A]])/TabTRADER[[#This Row],[A]],0)</f>
        <v>0.28312755847455623</v>
      </c>
      <c r="BC9" s="638" t="str">
        <f ca="1">TEXT(_xlfn.XLOOKUP(TabTRADER[[#This Row],[ClickTick]],TabCalc[Ticker],TabCalc[NAfter]),"#,#0")&amp;" : "&amp;TEXT(_xlfn.XLOOKUP(TabTRADER[[#This Row],[ClickTick]],TabCalc[Ticker],TabCalc[NAfter])*(TabTRADER[[#This Row],[M]]-TabTRADER[[#This Row],[A]])*(1-Commission)*TabTRADER[[#This Row],[Scale]],"#,#0$")</f>
        <v>400 : 30,581$</v>
      </c>
      <c r="BD9" s="684">
        <f ca="1">_xlfn.XLOOKUP(TabTRADER[[#This Row],[ClickTick]],TabCalc[[#This Row],[Ticker]],TabCalc[[#This Row],[GL]])*(1-Commission)</f>
        <v>71327.44043245916</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3.7278523828029879E-3</v>
      </c>
      <c r="BJ9" s="679">
        <f ca="1">TabTRADER[[#This Row],[L_Sn]]*TabTRADER[[#This Row],[L_Sp]]+TabTRADER[[#This Row],[SellMore]]*TabTRADER[[#This Row],[M]]</f>
        <v>128325.24999999999</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346.82499999999999</v>
      </c>
      <c r="BN9" s="687">
        <f ca="1">((_xlfn.XLOOKUP(TabTRADER[[#This Row],[ClickTick]],TabCalc[Ticker],TabCalc[NAfter])+TabTRADER[[#This Row],[L_Sn]])*(TabTRADER[[#This Row],[Agiotage]]-TabTRADER[[#This Row],[M]]))/(TabTRADER[[#This Row],[L_Sn]]*_xlfn.XLOOKUP(TabTRADER[[#This Row],[ClickTick]],TabCalc[Ticker],TabCalc[NAfter]))</f>
        <v>-3.0325328847171065</v>
      </c>
      <c r="BO9" s="687">
        <f ca="1">(TabTRADER[[#This Row],[M]]-TabTRADER[[#This Row],[Agiotage]])/(TabTRADER[[#This Row],[M]]-TabTRADER[[#This Row],[A]])-1</f>
        <v>3.521412108611762</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+7,358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17.4%</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340/500=28,731</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BUY  3,003</v>
      </c>
      <c r="F10" s="226" t="str">
        <f ca="1">TRUNC(TabCalc[[#This Row],[L_B1p]],2)&amp;"x"&amp;TabCalc[[#This Row],[L_B1n]]&amp;"=   "&amp;TEXT(TabCalc[[#This Row],[ReverseS1]],"#,#0")&amp;"$"</f>
        <v>-77.67x800=   3,443$</v>
      </c>
      <c r="G10" s="225" t="str">
        <f ca="1">IFERROR(TRUNC(_xlfn.XLOOKUP(TabTRADER[[#This Row],[ClickTick]],TabCalc[Ticker],ListLastSalep),2)&amp;"x"&amp;_xlfn.XLOOKUP(TabTRADER[[#This Row],[ClickTick]],TabCalc[Ticker],ListLastSalen)&amp;"=   "&amp;TEXT(-_xlfn.XLOOKUP(TabTRADER[[#This Row],[ClickTick]],TabCalc[Ticker],ListReverseB),"#,#0")&amp;"$","")</f>
        <v>86.22x500=   -832$</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3,003</v>
      </c>
      <c r="I10" s="226" t="str">
        <f ca="1">IFERROR(TRUNC(TabCalc[[#This Row],[L_S1p]],2)&amp;"x"&amp;TabCalc[[#This Row],[L_S1n]]&amp;"=   "&amp;TEXT(TabCalc[[#This Row],[ReverseB1]],"#,#0"),"")</f>
        <v>79.51x2000=   -10,090</v>
      </c>
      <c r="J10" s="295">
        <f ca="1">_xlfn.XLOOKUP(TabTRADER[[#This Row],[ClickTick]],TabCalc[Ticker],ListGravity)</f>
        <v>1.1028647625805688</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0.66882833672373876</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0.21069587628865982</v>
      </c>
      <c r="S10" s="683">
        <f ca="1">_xlfn.XLOOKUP(TabTRADER[[#This Row],[ClickTick]],TabCalc[Ticker],TabCalc[Rev(MinStock)])*(1-Commission)</f>
        <v>7338.3705000000018</v>
      </c>
      <c r="T10" s="782">
        <f ca="1">_xlfn.XLOOKUP(TabTRADER[[#This Row],[ClickTick]],TabCalc[Ticker],TabCalc[Agiotage])</f>
        <v>0.66882833672373876</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23/23=&gt;0.9% / 0.9%</v>
      </c>
      <c r="V10" s="739" t="str">
        <f ca="1">_xlfn.XLOOKUP(TabTRADER[[#This Row],[ClickTick]],[1]!RTData[Ticker_Symbol],[1]!RTData[Currency])</f>
        <v>USD</v>
      </c>
      <c r="W10" s="749">
        <f ca="1">_xlfn.XLOOKUP(TabTRADER[[#This Row],[ClickTick]],TabCalc[Ticker],TabCalc[M])</f>
        <v>84.555000000000007</v>
      </c>
      <c r="X10" s="1343"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^151/42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176" t="str" cm="1">
        <f t="array" aca="1" ref="AF10" ca="1">_xlfn.IFS(       TabTRADER[[#This Row],[Traps]]=RePurchaseGain,TEXT(TabTRADER[[#This Row],[L_Sn]],"#,#0")&amp;" x "&amp;TEXT(TabTRADER[[#This Row],[L_Sp]],"#,#0.#0"),     TabTRADER[[#This Row],[Traps]]=ReSaleGain,TEXT(TabTRADER[[#This Row],[L_Bn]],"#0,#0")&amp;" x "&amp;TEXT(TabTRADER[[#This Row],[L_Bp]],"#,#0.#0"),               TRUE,"")</f>
        <v>500 x 86.22</v>
      </c>
      <c r="AG10" s="1177"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830.33549999999605</v>
      </c>
      <c r="AH10" s="1177"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830.33549999999605</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1.9311064718162747E-2</v>
      </c>
      <c r="AK10" s="1186"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25" t="str" cm="1">
        <f t="array" aca="1" ref="AL10" ca="1">_xlfn.IFS(   TabTRADER[[#This Row],[Traps]]=SellMorePercentGain,                     MIN(TabTRADER[[#This Row],[L_Sn]],TabTRADER[[#This Row],[N]])*(TabTRADER[[#This Row],[M]]-TabTRADER[[#This Row],[L_Sp]])*(1-Commission)*TabTRADER[[#This Row],[Scale]],                    TRUE,"")</f>
        <v/>
      </c>
      <c r="AM10" s="1175">
        <f ca="1">_xlfn.XLOOKUP(TabTRADER[[#This Row],[ClickTick]],TabCalc[Ticker],TabCalc[Ann%RevLB])</f>
        <v>0.54178939617083954</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t="str" cm="1">
        <f t="array" aca="1" ref="AQ10" ca="1">_xlfn.IFS(   TabTRADER[[#This Row],[Traps]]=MUp,TabTRADER[[#This Row],[TakeGain_A]]-Commission,        TabTRADER[[#This Row],[Traps]]=MDown,(TabTRADER[[#This Row],[A]]-TabTRADER[[#This Row],[M]])/TabTRADER[[#This Row],[M]]-Commission,                              TRUE,"")</f>
        <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7338.3705000000018</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65" cm="1">
        <f t="array" aca="1" ref="AU10" ca="1">_xlfn.IFS(TabTRADER[[#This Row],[Traps]]=ReSaleGain,"",         TabTRADER[[#This Row],[Traps]]=MDown, (TabTRADER[[#This Row],[M]]-TabTRADER[[#This Row],[A]])/TabTRADER[[#This Row],[A]]*ComFactor,             TRUE, IFERROR((TabTRADER[[#This Row],[M]]-TabTRADER[[#This Row],[A]])/TabTRADER[[#This Row],[A]]*ComFactor,""))</f>
        <v>0.2101480670103093</v>
      </c>
      <c r="AV10" s="762" cm="1">
        <f t="array" aca="1" ref="AV10" ca="1">_xlfn.IFS(               TabTRADER[[#This Row],[Traps]]=NoStock,(TabTRADER[[#This Row],[L_Sp]]-TabTRADER[[#This Row],[M]])/TabTRADER[[#This Row],[M]]-Commission,             TabTRADER[[#This Row],[A]]&lt;&gt;0,(TabTRADER[[#This Row],[A]]-TabTRADER[[#This Row],[M]])/TabTRADER[[#This Row],[M]]-Commission)</f>
        <v>-0.17662873869079299</v>
      </c>
      <c r="AW10" s="324">
        <f ca="1">_xlfn.XLOOKUP(TabTRADER[[#This Row],[ClickTick]],TabCalc[Ticker],TabCalc[L_Sn])</f>
        <v>500</v>
      </c>
      <c r="AX10" s="728">
        <f ca="1">_xlfn.XLOOKUP(TabTRADER[[#This Row],[ClickTick]],TabCalc[Ticker],TabCalc[L_Sp])</f>
        <v>86.22</v>
      </c>
      <c r="AY10" s="764">
        <f ca="1">-IFERROR((TabTRADER[[#This Row],[M]]-TabTRADER[[#This Row],[L_Sp]])/TabTRADER[[#This Row],[L_Sp]],0)</f>
        <v>1.9311064718162747E-2</v>
      </c>
      <c r="AZ10" s="729">
        <f ca="1">TabTRADER[[#This Row],[L_Sn]]*(TabTRADER[[#This Row],[M]]-TabTRADER[[#This Row],[L_Sp]])*(1-Commission)*TabTRADER[[#This Row],[Scale]]</f>
        <v>-830.33549999999605</v>
      </c>
      <c r="BA10" s="692">
        <f ca="1">TabTRADER[[#This Row],[L_Sn]]*(TabTRADER[[#This Row],[Agiotage]]-TabTRADER[[#This Row],[M]])/(TabTRADER[[#This Row],[L_Bn]]*TabTRADER[[#This Row],[M]])</f>
        <v>-0.12401125253278379</v>
      </c>
      <c r="BB10" s="635">
        <f ca="1">IFERROR((TabTRADER[[#This Row],[M]]-TabTRADER[[#This Row],[A]])/TabTRADER[[#This Row],[A]],0)</f>
        <v>0.21069587628865982</v>
      </c>
      <c r="BC10" s="638" t="str">
        <f ca="1">TEXT(_xlfn.XLOOKUP(TabTRADER[[#This Row],[ClickTick]],TabCalc[Ticker],TabCalc[NAfter]),"#,#0")&amp;" : "&amp;TEXT(_xlfn.XLOOKUP(TabTRADER[[#This Row],[ClickTick]],TabCalc[Ticker],TabCalc[NAfter])*(TabTRADER[[#This Row],[M]]-TabTRADER[[#This Row],[A]])*(1-Commission)*TabTRADER[[#This Row],[Scale]],"#,#0$")</f>
        <v>500 : 7,338$</v>
      </c>
      <c r="BD10" s="684">
        <f ca="1">_xlfn.XLOOKUP(TabTRADER[[#This Row],[ClickTick]],TabCalc[[#This Row],[Ticker]],TabCalc[[#This Row],[GL]])*(1-Commission)</f>
        <v>150220.30905999997</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79">
        <f ca="1">TabTRADER[[#This Row],[L_Sn]]*TabTRADER[[#This Row],[L_Sp]]+TabTRADER[[#This Row],[SellMore]]*TabTRADER[[#This Row],[M]]</f>
        <v>85387.5</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85.387500000000003</v>
      </c>
      <c r="BN10" s="687">
        <f ca="1">((_xlfn.XLOOKUP(TabTRADER[[#This Row],[ClickTick]],TabCalc[Ticker],TabCalc[NAfter])+TabTRADER[[#This Row],[L_Sn]])*(TabTRADER[[#This Row],[Agiotage]]-TabTRADER[[#This Row],[M]]))/(TabTRADER[[#This Row],[L_Sn]]*_xlfn.XLOOKUP(TabTRADER[[#This Row],[ClickTick]],TabCalc[Ticker],TabCalc[NAfter]))</f>
        <v>-0.33554468665310505</v>
      </c>
      <c r="BO10" s="687">
        <f ca="1">(TabTRADER[[#This Row],[M]]-TabTRADER[[#This Row],[Agiotage]])/(TabTRADER[[#This Row],[M]]-TabTRADER[[#This Row],[A]])-1</f>
        <v>4.7007252234642376</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+3,810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18.2%</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6" t="str">
        <f ca="1">TRUNC(TabCalc[[#This Row],[L_B1p]],2)&amp;"x"&amp;TabCalc[[#This Row],[L_B1n]]&amp;"=   "&amp;TEXT(TabCalc[[#This Row],[ReverseS1]],"#,#0")&amp;"$"</f>
        <v>-1.83x10000=   16,550$</v>
      </c>
      <c r="G11" s="225" t="str">
        <f ca="1">IFERROR(TRUNC(_xlfn.XLOOKUP(TabTRADER[[#This Row],[ClickTick]],TabCalc[Ticker],ListLastSalep),2)&amp;"x"&amp;_xlfn.XLOOKUP(TabTRADER[[#This Row],[ClickTick]],TabCalc[Ticker],ListLastSalen)&amp;"=   "&amp;TEXT(-_xlfn.XLOOKUP(TabTRADER[[#This Row],[ClickTick]],TabCalc[Ticker],ListReverseB),"#,#0")&amp;"$","")</f>
        <v>3.35x6000=   809$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11" s="226" t="str">
        <f ca="1">IFERROR(TRUNC(TabCalc[[#This Row],[L_S1p]],2)&amp;"x"&amp;TabCalc[[#This Row],[L_S1n]]&amp;"=   "&amp;TEXT(TabCalc[[#This Row],[ReverseB1]],"#,#0"),"")</f>
        <v>1.96x10000=   -15,250</v>
      </c>
      <c r="J11" s="295">
        <f ca="1">_xlfn.XLOOKUP(TabTRADER[[#This Row],[ClickTick]],TabCalc[Ticker],ListGravity)</f>
        <v>0.78909612625538028</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34850</v>
      </c>
      <c r="M11" s="323">
        <f ca="1">_xlfn.XLOOKUP(TabTRADER[[#This Row],[ClickTick]],TabCalc[Ticker],TabCalc[Agiotage])</f>
        <v>0.67292193067776529</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0.22280701754385956</v>
      </c>
      <c r="S11" s="683">
        <f ca="1">_xlfn.XLOOKUP(TabTRADER[[#This Row],[ClickTick]],TabCalc[Ticker],TabCalc[Rev(MinStock)])*(1-Commission)</f>
        <v>3800.0939999999987</v>
      </c>
      <c r="T11" s="782">
        <f ca="1">_xlfn.XLOOKUP(TabTRADER[[#This Row],[ClickTick]],TabCalc[Ticker],TabCalc[Agiotage])</f>
        <v>0.67292193067776529</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1,500/1,500=&gt;-1.8% / -1.8%</v>
      </c>
      <c r="V11" s="739" t="str">
        <f ca="1">_xlfn.XLOOKUP(TabTRADER[[#This Row],[ClickTick]],[1]!RTData[Ticker_Symbol],[1]!RTData[Currency])</f>
        <v>USD</v>
      </c>
      <c r="W11" s="749">
        <f ca="1">_xlfn.XLOOKUP(TabTRADER[[#This Row],[ClickTick]],TabCalc[Ticker],TabCalc[M])</f>
        <v>3.4849999999999999</v>
      </c>
      <c r="X11" s="1343"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^38/70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76" t="str" cm="1">
        <f t="array" aca="1" ref="AF11" ca="1">_xlfn.IFS(       TabTRADER[[#This Row],[Traps]]=RePurchaseGain,TEXT(TabTRADER[[#This Row],[L_Sn]],"#,#0")&amp;" x "&amp;TEXT(TabTRADER[[#This Row],[L_Sp]],"#,#0.#0"),     TabTRADER[[#This Row],[Traps]]=ReSaleGain,TEXT(TabTRADER[[#This Row],[L_Bn]],"#0,#0")&amp;" x "&amp;TEXT(TabTRADER[[#This Row],[L_Bp]],"#,#0.#0"),               TRUE,"")</f>
        <v/>
      </c>
      <c r="AG11" s="1177"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77"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807.29556000000002</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26750.267999999996</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0.62546641791044766</v>
      </c>
      <c r="AK11" s="1186"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3.6108751793400298E-2</v>
      </c>
      <c r="AL11" s="825" cm="1">
        <f t="array" aca="1" ref="AL11" ca="1">_xlfn.IFS(   TabTRADER[[#This Row],[Traps]]=SellMorePercentGain,                     MIN(TabTRADER[[#This Row],[L_Sn]],TabTRADER[[#This Row],[N]])*(TabTRADER[[#This Row],[M]]-TabTRADER[[#This Row],[L_Sp]])*(1-Commission)*TabTRADER[[#This Row],[Scale]],                    TRUE,"")</f>
        <v>807.29556000000002</v>
      </c>
      <c r="AM11" s="1175">
        <f ca="1">_xlfn.XLOOKUP(TabTRADER[[#This Row],[ClickTick]],TabCalc[Ticker],TabCalc[Ann%RevLB])</f>
        <v>0.2638504155124653</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cm="1">
        <f t="array" aca="1" ref="AQ11" ca="1">_xlfn.IFS(   TabTRADER[[#This Row],[Traps]]=MUp,TabTRADER[[#This Row],[TakeGain_A]]-Commission,        TabTRADER[[#This Row],[Traps]]=MDown,(TabTRADER[[#This Row],[A]]-TabTRADER[[#This Row],[M]])/TabTRADER[[#This Row],[M]]-Commission,                              TRUE,"")</f>
        <v>0.62286641791044761</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43481.662304104466</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6,000x1.34</v>
      </c>
      <c r="AU11" s="765" cm="1">
        <f t="array" aca="1" ref="AU11" ca="1">_xlfn.IFS(TabTRADER[[#This Row],[Traps]]=ReSaleGain,"",         TabTRADER[[#This Row],[Traps]]=MDown, (TabTRADER[[#This Row],[M]]-TabTRADER[[#This Row],[A]])/TabTRADER[[#This Row],[A]]*ComFactor,             TRUE, IFERROR((TabTRADER[[#This Row],[M]]-TabTRADER[[#This Row],[A]])/TabTRADER[[#This Row],[A]]*ComFactor,""))</f>
        <v>0.62384020522388051</v>
      </c>
      <c r="AV11" s="762" cm="1">
        <f t="array" aca="1" ref="AV11" ca="1">_xlfn.IFS(               TabTRADER[[#This Row],[Traps]]=NoStock,(TabTRADER[[#This Row],[L_Sp]]-TabTRADER[[#This Row],[M]])/TabTRADER[[#This Row],[M]]-Commission,             TabTRADER[[#This Row],[A]]&lt;&gt;0,(TabTRADER[[#This Row],[A]]-TabTRADER[[#This Row],[M]])/TabTRADER[[#This Row],[M]]-Commission)</f>
        <v>-0.3873919655667144</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-4.02674547028447E-2</v>
      </c>
      <c r="AZ11" s="729">
        <f ca="1">TabTRADER[[#This Row],[L_Sn]]*(TabTRADER[[#This Row],[M]]-TabTRADER[[#This Row],[L_Sp]])*(1-Commission)*TabTRADER[[#This Row],[Scale]]</f>
        <v>807.29556000000002</v>
      </c>
      <c r="BA11" s="692">
        <f ca="1">TabTRADER[[#This Row],[L_Sn]]*(TabTRADER[[#This Row],[Agiotage]]-TabTRADER[[#This Row],[M]])/(TabTRADER[[#This Row],[L_Bn]]*TabTRADER[[#This Row],[M]])</f>
        <v>-0.8069090586290486</v>
      </c>
      <c r="BB11" s="635">
        <f ca="1">IFERROR((TabTRADER[[#This Row],[M]]-TabTRADER[[#This Row],[A]])/TabTRADER[[#This Row],[A]],0)</f>
        <v>0.62546641791044766</v>
      </c>
      <c r="BC11" s="638" t="str">
        <f ca="1">TEXT(_xlfn.XLOOKUP(TabTRADER[[#This Row],[ClickTick]],TabCalc[Ticker],TabCalc[NAfter]),"#,#0")&amp;" : "&amp;TEXT(_xlfn.XLOOKUP(TabTRADER[[#This Row],[ClickTick]],TabCalc[Ticker],TabCalc[NAfter])*(TabTRADER[[#This Row],[M]]-TabTRADER[[#This Row],[A]])*(1-Commission)*TabTRADER[[#This Row],[Scale]],"#,#0$")</f>
        <v>20,000 : 26,750$</v>
      </c>
      <c r="BD11" s="684">
        <f ca="1">_xlfn.XLOOKUP(TabTRADER[[#This Row],[ClickTick]],TabCalc[[#This Row],[Ticker]],TabCalc[[#This Row],[GL]])*(1-Commission)</f>
        <v>37917.342918999988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3.8708751793400296E-2</v>
      </c>
      <c r="BJ11" s="679">
        <f ca="1">TabTRADER[[#This Row],[L_Sn]]*TabTRADER[[#This Row],[L_Sp]]+TabTRADER[[#This Row],[SellMore]]*TabTRADER[[#This Row],[M]]</f>
        <v>41010.6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3.4175499999999999</v>
      </c>
      <c r="BN11" s="687">
        <f ca="1">((_xlfn.XLOOKUP(TabTRADER[[#This Row],[ClickTick]],TabCalc[Ticker],TabCalc[NAfter])+TabTRADER[[#This Row],[L_Sn]])*(TabTRADER[[#This Row],[Agiotage]]-TabTRADER[[#This Row],[M]]))/(TabTRADER[[#This Row],[L_Sn]]*_xlfn.XLOOKUP(TabTRADER[[#This Row],[ClickTick]],TabCalc[Ticker],TabCalc[NAfter]))</f>
        <v>-6.092835816864842E-4</v>
      </c>
      <c r="BO11" s="687">
        <f ca="1">(TabTRADER[[#This Row],[M]]-TabTRADER[[#This Row],[Agiotage]])/(TabTRADER[[#This Row],[M]]-TabTRADER[[#This Row],[A]])-1</f>
        <v>1.0970007974065887</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-127,776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-409.3%</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0.11485061080312024</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-0.80364948583288776</v>
      </c>
      <c r="S12" s="683">
        <f ca="1">_xlfn.XLOOKUP(TabTRADER[[#This Row],[ClickTick]],TabCalc[Ticker],TabCalc[Rev(MinStock)])*(1-Commission)</f>
        <v>-127444.03174999998</v>
      </c>
      <c r="T12" s="782">
        <f ca="1">_xlfn.XLOOKUP(TabTRADER[[#This Row],[ClickTick]],TabCalc[Ticker],TabCalc[Agiotage])</f>
        <v>0.11485061080312024</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344/344=&gt;-2.1% / -2.1%</v>
      </c>
      <c r="V12" s="739" t="str">
        <f ca="1">_xlfn.XLOOKUP(TabTRADER[[#This Row],[ClickTick]],[1]!RTData[Ticker_Symbol],[1]!RTData[Currency])</f>
        <v>USD</v>
      </c>
      <c r="W12" s="749">
        <f ca="1">_xlfn.XLOOKUP(TabTRADER[[#This Row],[ClickTick]],TabCalc[Ticker],TabCalc[M])</f>
        <v>2.4975000000000001</v>
      </c>
      <c r="X12" s="1343"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127444.03174999998</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31218.75</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0.80364948583288776</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4.0903329329329328</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-5.3339567643775732E-2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4.0929329329329329</v>
      </c>
      <c r="AP12" s="825" cm="1">
        <f t="array" aca="1" ref="AP12" ca="1">_xlfn.IFS(         TabTRADER[[#This Row],[Traps]]=MDown,TabTRADER[[#This Row],[L_Bn]]*TabTRADER[[#This Row],[M]]*(-(TabTRADER[[#This Row],[L_Bp]]+TabTRADER[[#This Row],[M]])/TabTRADER[[#This Row],[M]])*(1-Commission)*TabTRADER[[#This Row],[Scale]],                               TRUE,"")</f>
        <v>127444.03174999999</v>
      </c>
      <c r="AQ12" s="1186" cm="1">
        <f t="array" aca="1" ref="AQ12" ca="1">_xlfn.IFS(   TabTRADER[[#This Row],[Traps]]=MUp,TabTRADER[[#This Row],[TakeGain_A]]-Commission,        TabTRADER[[#This Row],[Traps]]=MDown,(TabTRADER[[#This Row],[A]]-TabTRADER[[#This Row],[M]])/TabTRADER[[#This Row],[M]]-Commission,                              TRUE,"")</f>
        <v>4.0903329329329328</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127444.03174999998</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-10.220000000000001</v>
      </c>
      <c r="AU12" s="765" cm="1">
        <f t="array" aca="1" ref="AU12" ca="1">_xlfn.IFS(TabTRADER[[#This Row],[Traps]]=ReSaleGain,"",         TabTRADER[[#This Row],[Traps]]=MDown, (TabTRADER[[#This Row],[M]]-TabTRADER[[#This Row],[A]])/TabTRADER[[#This Row],[A]]*ComFactor,             TRUE, IFERROR((TabTRADER[[#This Row],[M]]-TabTRADER[[#This Row],[A]])/TabTRADER[[#This Row],[A]]*ComFactor,""))</f>
        <v>-0.80155999716972226</v>
      </c>
      <c r="AV12" s="762" cm="1">
        <f t="array" aca="1" ref="AV12" ca="1">_xlfn.IFS(               TabTRADER[[#This Row],[Traps]]=NoStock,(TabTRADER[[#This Row],[L_Sp]]-TabTRADER[[#This Row],[M]])/TabTRADER[[#This Row],[M]]-Commission,             TabTRADER[[#This Row],[A]]&lt;&gt;0,(TabTRADER[[#This Row],[A]]-TabTRADER[[#This Row],[M]])/TabTRADER[[#This Row],[M]]-Commission)</f>
        <v>4.0903329329329328</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-0.80364948583288776</v>
      </c>
      <c r="BC12" s="638" t="str">
        <f ca="1">TEXT(_xlfn.XLOOKUP(TabTRADER[[#This Row],[ClickTick]],TabCalc[Ticker],TabCalc[NAfter]),"#,#0")&amp;" : "&amp;TEXT(_xlfn.XLOOKUP(TabTRADER[[#This Row],[ClickTick]],TabCalc[Ticker],TabCalc[NAfter])*(TabTRADER[[#This Row],[M]]-TabTRADER[[#This Row],[A]])*(1-Commission)*TabTRADER[[#This Row],[Scale]],"#,#0$")</f>
        <v>12,500 : -127,444$</v>
      </c>
      <c r="BD12" s="684">
        <f ca="1">_xlfn.XLOOKUP(TabTRADER[[#This Row],[ClickTick]],TabCalc[[#This Row],[Ticker]],TabCalc[[#This Row],[GL]])*(1-Commission)</f>
        <v>-127444.03174999999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4.0929329329329329</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-1.2330880532568533</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-41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3,966$</v>
      </c>
      <c r="G13" s="225" t="str">
        <f ca="1">IFERROR(TRUNC(_xlfn.XLOOKUP(TabTRADER[[#This Row],[ClickTick]],TabCalc[Ticker],ListLastSalep),2)&amp;"x"&amp;_xlfn.XLOOKUP(TabTRADER[[#This Row],[ClickTick]],TabCalc[Ticker],ListLastSalen)&amp;"=   "&amp;TEXT(-_xlfn.XLOOKUP(TabTRADER[[#This Row],[ClickTick]],TabCalc[Ticker],ListReverseB),"#,#0")&amp;"$","")</f>
        <v>97.37x95=   299$</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 = 0</v>
      </c>
      <c r="I13" s="226" t="str">
        <f ca="1">IFERROR(TRUNC(TabCalc[[#This Row],[L_S1p]],2)&amp;"x"&amp;TabCalc[[#This Row],[L_S1n]]&amp;"=   "&amp;TEXT(TabCalc[[#This Row],[ReverseB1]],"#,#0"),"")</f>
        <v>82.67x500=   -8,925</v>
      </c>
      <c r="J13" s="295">
        <f ca="1">_xlfn.XLOOKUP(TabTRADER[[#This Row],[ClickTick]],TabCalc[Ticker],ListGravity)</f>
        <v>1.131733983286908</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502.59999999999997</v>
      </c>
      <c r="M13" s="323">
        <f ca="1">_xlfn.XLOOKUP(TabTRADER[[#This Row],[ClickTick]],TabCalc[Ticker],TabCalc[Agiotage])</f>
        <v>0.88466405030695294</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-4.0622213415239354E-3</v>
      </c>
      <c r="S13" s="683">
        <f ca="1">_xlfn.XLOOKUP(TabTRADER[[#This Row],[ClickTick]],TabCalc[Ticker],TabCalc[Rev(MinStock)])*(1-Commission)</f>
        <v>-40.893400000001073</v>
      </c>
      <c r="T13" s="782">
        <f ca="1">_xlfn.XLOOKUP(TabTRADER[[#This Row],[ClickTick]],TabCalc[Ticker],TabCalc[Agiotage])</f>
        <v>0.88466405030695294</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12/12=&gt;-0.3% / -0.3%</v>
      </c>
      <c r="V13" s="739" t="str">
        <f ca="1">_xlfn.XLOOKUP(TabTRADER[[#This Row],[ClickTick]],[1]!RTData[Ticker_Symbol],[1]!RTData[Currency])</f>
        <v>USD</v>
      </c>
      <c r="W13" s="749">
        <f ca="1">_xlfn.XLOOKUP(TabTRADER[[#This Row],[ClickTick]],TabCalc[Ticker],TabCalc[M])</f>
        <v>100.52</v>
      </c>
      <c r="X13" s="1343"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40.893400000001073</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10554.6</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-1.4207125183174282E-2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1.4787902904895628E-3</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-0.48746656098287222</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4.0787902904895626E-3</v>
      </c>
      <c r="AP13" s="825" cm="1">
        <f t="array" aca="1" ref="AP13" ca="1">_xlfn.IFS(         TabTRADER[[#This Row],[Traps]]=MDown,TabTRADER[[#This Row],[L_Bn]]*TabTRADER[[#This Row],[M]]*(-(TabTRADER[[#This Row],[L_Bp]]+TabTRADER[[#This Row],[M]])/TabTRADER[[#This Row],[M]])*(1-Commission)*TabTRADER[[#This Row],[Scale]],                               TRUE,"")</f>
        <v>40.89340000000108</v>
      </c>
      <c r="AQ13" s="1186" cm="1">
        <f t="array" aca="1" ref="AQ13" ca="1">_xlfn.IFS(   TabTRADER[[#This Row],[Traps]]=MUp,TabTRADER[[#This Row],[TakeGain_A]]-Commission,        TabTRADER[[#This Row],[Traps]]=MDown,(TabTRADER[[#This Row],[A]]-TabTRADER[[#This Row],[M]])/TabTRADER[[#This Row],[M]]-Commission,                              TRUE,"")</f>
        <v>-1.6608110207871354E-2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-147.46558999999897</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13" s="765" cm="1">
        <f t="array" aca="1" ref="AU13" ca="1">_xlfn.IFS(TabTRADER[[#This Row],[Traps]]=ReSaleGain,"",         TabTRADER[[#This Row],[Traps]]=MDown, (TabTRADER[[#This Row],[M]]-TabTRADER[[#This Row],[A]])/TabTRADER[[#This Row],[A]]*ComFactor,             TRUE, IFERROR((TabTRADER[[#This Row],[M]]-TabTRADER[[#This Row],[A]])/TabTRADER[[#This Row],[A]]*ComFactor,""))</f>
        <v>1.4170186657698029E-2</v>
      </c>
      <c r="AV13" s="762" cm="1">
        <f t="array" aca="1" ref="AV13" ca="1">_xlfn.IFS(               TabTRADER[[#This Row],[Traps]]=NoStock,(TabTRADER[[#This Row],[L_Sp]]-TabTRADER[[#This Row],[M]])/TabTRADER[[#This Row],[M]]-Commission,             TabTRADER[[#This Row],[A]]&lt;&gt;0,(TabTRADER[[#This Row],[A]]-TabTRADER[[#This Row],[M]])/TabTRADER[[#This Row],[M]]-Commission)</f>
        <v>-1.6608110207871354E-2</v>
      </c>
      <c r="AW13" s="324">
        <f ca="1">_xlfn.XLOOKUP(TabTRADER[[#This Row],[ClickTick]],TabCalc[Ticker],TabCalc[L_Sn])</f>
        <v>95</v>
      </c>
      <c r="AX13" s="728">
        <f ca="1">_xlfn.XLOOKUP(TabTRADER[[#This Row],[ClickTick]],TabCalc[Ticker],TabCalc[L_Sp])</f>
        <v>97.375</v>
      </c>
      <c r="AY13" s="764">
        <f ca="1">-IFERROR((TabTRADER[[#This Row],[M]]-TabTRADER[[#This Row],[L_Sp]])/TabTRADER[[#This Row],[L_Sp]],0)</f>
        <v>-3.2297817715019217E-2</v>
      </c>
      <c r="AZ13" s="729">
        <f ca="1">TabTRADER[[#This Row],[L_Sn]]*(TabTRADER[[#This Row],[M]]-TabTRADER[[#This Row],[L_Sp]])*(1-Commission)*TabTRADER[[#This Row],[Scale]]</f>
        <v>297.99818499999964</v>
      </c>
      <c r="BA13" s="692">
        <f ca="1">TabTRADER[[#This Row],[L_Sn]]*(TabTRADER[[#This Row],[Agiotage]]-TabTRADER[[#This Row],[M]])/(TabTRADER[[#This Row],[L_Bn]]*TabTRADER[[#This Row],[M]])</f>
        <v>-0.9416391678492676</v>
      </c>
      <c r="BB13" s="635">
        <f ca="1">IFERROR((TabTRADER[[#This Row],[M]]-TabTRADER[[#This Row],[A]])/TabTRADER[[#This Row],[A]],0)</f>
        <v>1.4207125183174282E-2</v>
      </c>
      <c r="BC13" s="638" t="str">
        <f ca="1">TEXT(_xlfn.XLOOKUP(TabTRADER[[#This Row],[ClickTick]],TabCalc[Ticker],TabCalc[NAfter]),"#,#0")&amp;" : "&amp;TEXT(_xlfn.XLOOKUP(TabTRADER[[#This Row],[ClickTick]],TabCalc[Ticker],TabCalc[NAfter])*(TabTRADER[[#This Row],[M]]-TabTRADER[[#This Row],[A]])*(1-Commission)*TabTRADER[[#This Row],[Scale]],"#,#0$")</f>
        <v>105 : 147$</v>
      </c>
      <c r="BD13" s="684">
        <f ca="1">_xlfn.XLOOKUP(TabTRADER[[#This Row],[ClickTick]],TabCalc[[#This Row],[Ticker]],TabCalc[[#This Row],[GL]])*(1-Commission)</f>
        <v>40355.766491000002</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4.0787902904895626E-3</v>
      </c>
      <c r="BJ13" s="679">
        <f ca="1">TabTRADER[[#This Row],[L_Sn]]*TabTRADER[[#This Row],[L_Sp]]+TabTRADER[[#This Row],[SellMore]]*TabTRADER[[#This Row],[M]]</f>
        <v>9753.2250000000004</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97.532250000000005</v>
      </c>
      <c r="BN13" s="687">
        <f ca="1">((_xlfn.XLOOKUP(TabTRADER[[#This Row],[ClickTick]],TabCalc[Ticker],TabCalc[NAfter])+TabTRADER[[#This Row],[L_Sn]])*(TabTRADER[[#This Row],[Agiotage]]-TabTRADER[[#This Row],[M]]))/(TabTRADER[[#This Row],[L_Sn]]*_xlfn.XLOOKUP(TabTRADER[[#This Row],[ClickTick]],TabCalc[Ticker],TabCalc[NAfter]))</f>
        <v>-1.9977009714224168</v>
      </c>
      <c r="BO13" s="687">
        <f ca="1">(TabTRADER[[#This Row],[M]]-TabTRADER[[#This Row],[Agiotage]])/(TabTRADER[[#This Row],[M]]-TabTRADER[[#This Row],[A]])-1</f>
        <v>69.758946734648916</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+3,725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11,990$</v>
      </c>
      <c r="G14" s="225" t="str">
        <f ca="1">IFERROR(TRUNC(_xlfn.XLOOKUP(TabTRADER[[#This Row],[ClickTick]],TabCalc[Ticker],ListLastSalep),2)&amp;"x"&amp;_xlfn.XLOOKUP(TabTRADER[[#This Row],[ClickTick]],TabCalc[Ticker],ListLastSalen)&amp;"=   "&amp;TEXT(-_xlfn.XLOOKUP(TabTRADER[[#This Row],[ClickTick]],TabCalc[Ticker],ListReverseB),"#,#0")&amp;"$","")</f>
        <v>69.34x1000=   1,585$</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14" s="226" t="str">
        <f ca="1">IFERROR(TRUNC(TabCalc[[#This Row],[L_S1p]],2)&amp;"x"&amp;TabCalc[[#This Row],[L_S1n]]&amp;"=   "&amp;TEXT(TabCalc[[#This Row],[ReverseB1]],"#,#0"),"")</f>
        <v>68.32x1000=   -2,605</v>
      </c>
      <c r="J14" s="295">
        <f ca="1">_xlfn.XLOOKUP(TabTRADER[[#This Row],[ClickTick]],TabCalc[Ticker],ListGravity)</f>
        <v>1.0756566795911173</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0.61914118961950071</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5.5431547619047533E-2</v>
      </c>
      <c r="S14" s="683">
        <f ca="1">_xlfn.XLOOKUP(TabTRADER[[#This Row],[ClickTick]],TabCalc[Ticker],TabCalc[Rev(MinStock)])*(1-Commission)</f>
        <v>3715.3149999999946</v>
      </c>
      <c r="T14" s="782">
        <f ca="1">_xlfn.XLOOKUP(TabTRADER[[#This Row],[ClickTick]],TabCalc[Ticker],TabCalc[Agiotage])</f>
        <v>0.61914118961950071</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-465/-465=&gt;-0.2% / -0.2%</v>
      </c>
      <c r="V14" s="739" t="str">
        <f ca="1">_xlfn.XLOOKUP(TabTRADER[[#This Row],[ClickTick]],[1]!RTData[Ticker_Symbol],[1]!RTData[Currency])</f>
        <v>USD</v>
      </c>
      <c r="W14" s="708">
        <f ca="1">_xlfn.XLOOKUP(TabTRADER[[#This Row],[ClickTick]],TabCalc[Ticker],TabCalc[M])</f>
        <v>70.924999999999997</v>
      </c>
      <c r="X14" s="1343"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^132/71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1580.8789999999935</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3715.3149999999946</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5.5431547619047533E-2</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1.9747550229115174E-2</v>
      </c>
      <c r="AL14" s="825" cm="1">
        <f t="array" aca="1" ref="AL14" ca="1">_xlfn.IFS(   TabTRADER[[#This Row],[Traps]]=SellMorePercentGain,                     MIN(TabTRADER[[#This Row],[L_Sn]],TabTRADER[[#This Row],[N]])*(TabTRADER[[#This Row],[M]]-TabTRADER[[#This Row],[L_Sp]])*(1-Commission)*TabTRADER[[#This Row],[Scale]],                    TRUE,"")</f>
        <v>1580.8789999999935</v>
      </c>
      <c r="AM14" s="1175">
        <f ca="1">_xlfn.XLOOKUP(TabTRADER[[#This Row],[ClickTick]],TabCalc[Ticker],TabCalc[Ann%RevLB])</f>
        <v>0.47512755102040738</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5.2831547619047535E-2</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3921.260660342256</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1,000x3.72</v>
      </c>
      <c r="AU14" s="765" cm="1">
        <f t="array" aca="1" ref="AU14" ca="1">_xlfn.IFS(TabTRADER[[#This Row],[Traps]]=ReSaleGain,"",         TabTRADER[[#This Row],[Traps]]=MDown, (TabTRADER[[#This Row],[M]]-TabTRADER[[#This Row],[A]])/TabTRADER[[#This Row],[A]]*ComFactor,             TRUE, IFERROR((TabTRADER[[#This Row],[M]]-TabTRADER[[#This Row],[A]])/TabTRADER[[#This Row],[A]]*ComFactor,""))</f>
        <v>5.5287425595238006E-2</v>
      </c>
      <c r="AV14" s="762" cm="1">
        <f t="array" aca="1" ref="AV14" ca="1">_xlfn.IFS(               TabTRADER[[#This Row],[Traps]]=NoStock,(TabTRADER[[#This Row],[L_Sp]]-TabTRADER[[#This Row],[M]])/TabTRADER[[#This Row],[M]]-Commission,             TabTRADER[[#This Row],[A]]&lt;&gt;0,(TabTRADER[[#This Row],[A]]-TabTRADER[[#This Row],[M]])/TabTRADER[[#This Row],[M]]-Commission)</f>
        <v>-5.5120267888614655E-2</v>
      </c>
      <c r="AW14" s="324">
        <f ca="1">_xlfn.XLOOKUP(TabTRADER[[#This Row],[ClickTick]],TabCalc[Ticker],TabCalc[L_Sn])</f>
        <v>1000</v>
      </c>
      <c r="AX14" s="728">
        <f ca="1">_xlfn.XLOOKUP(TabTRADER[[#This Row],[ClickTick]],TabCalc[Ticker],TabCalc[L_Sp])</f>
        <v>69.34</v>
      </c>
      <c r="AY14" s="764">
        <f ca="1">-IFERROR((TabTRADER[[#This Row],[M]]-TabTRADER[[#This Row],[L_Sp]])/TabTRADER[[#This Row],[L_Sp]],0)</f>
        <v>-2.2858379002018946E-2</v>
      </c>
      <c r="AZ14" s="729">
        <f ca="1">TabTRADER[[#This Row],[L_Sn]]*(TabTRADER[[#This Row],[M]]-TabTRADER[[#This Row],[L_Sp]])*(1-Commission)*TabTRADER[[#This Row],[Scale]]</f>
        <v>1580.8789999999935</v>
      </c>
      <c r="BA14" s="692">
        <f ca="1">TabTRADER[[#This Row],[L_Sn]]*(TabTRADER[[#This Row],[Agiotage]]-TabTRADER[[#This Row],[M]])/(TabTRADER[[#This Row],[L_Bn]]*TabTRADER[[#This Row],[M]])</f>
        <v>-0.9912704802309551</v>
      </c>
      <c r="BB14" s="635">
        <f ca="1">IFERROR((TabTRADER[[#This Row],[M]]-TabTRADER[[#This Row],[A]])/TabTRADER[[#This Row],[A]],0)</f>
        <v>5.5431547619047533E-2</v>
      </c>
      <c r="BC14" s="638" t="str">
        <f ca="1">TEXT(_xlfn.XLOOKUP(TabTRADER[[#This Row],[ClickTick]],TabCalc[Ticker],TabCalc[NAfter]),"#,#0")&amp;" : "&amp;TEXT(_xlfn.XLOOKUP(TabTRADER[[#This Row],[ClickTick]],TabCalc[Ticker],TabCalc[NAfter])*(TabTRADER[[#This Row],[M]]-TabTRADER[[#This Row],[A]])*(1-Commission)*TabTRADER[[#This Row],[Scale]],"#,#0$")</f>
        <v>1,000 : 3,715$</v>
      </c>
      <c r="BD14" s="684">
        <f ca="1">_xlfn.XLOOKUP(TabTRADER[[#This Row],[ClickTick]],TabCalc[[#This Row],[Ticker]],TabCalc[[#This Row],[GL]])*(1-Commission)</f>
        <v>131221.78398999997</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2.2347550229115175E-2</v>
      </c>
      <c r="BJ14" s="679">
        <f ca="1">TabTRADER[[#This Row],[L_Sn]]*TabTRADER[[#This Row],[L_Sp]]+TabTRADER[[#This Row],[SellMore]]*TabTRADER[[#This Row],[M]]</f>
        <v>140265</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70.132499999999993</v>
      </c>
      <c r="BN14" s="687">
        <f ca="1">((_xlfn.XLOOKUP(TabTRADER[[#This Row],[ClickTick]],TabCalc[Ticker],TabCalc[NAfter])+TabTRADER[[#This Row],[L_Sn]])*(TabTRADER[[#This Row],[Agiotage]]-TabTRADER[[#This Row],[M]]))/(TabTRADER[[#This Row],[L_Sn]]*_xlfn.XLOOKUP(TabTRADER[[#This Row],[ClickTick]],TabCalc[Ticker],TabCalc[NAfter]))</f>
        <v>-0.140611717620761</v>
      </c>
      <c r="BO14" s="687">
        <f ca="1">(TabTRADER[[#This Row],[M]]-TabTRADER[[#This Row],[Agiotage]])/(TabTRADER[[#This Row],[M]]-TabTRADER[[#This Row],[A]])-1</f>
        <v>17.874056056478015</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28.9%</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33$</v>
      </c>
      <c r="G15" s="225" t="str">
        <f ca="1">IFERROR(TRUNC(_xlfn.XLOOKUP(TabTRADER[[#This Row],[ClickTick]],TabCalc[Ticker],ListLastSalep),2)&amp;"x"&amp;_xlfn.XLOOKUP(TabTRADER[[#This Row],[ClickTick]],TabCalc[Ticker],ListLastSalen)&amp;"=   "&amp;TEXT(-_xlfn.XLOOKUP(TabTRADER[[#This Row],[ClickTick]],TabCalc[Ticker],ListReverseB),"#,#0")&amp;"$","")</f>
        <v>74.68x249=   1,035$</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15" s="226" t="str">
        <f ca="1">IFERROR(TRUNC(TabCalc[[#This Row],[L_S1p]],2)&amp;"x"&amp;TabCalc[[#This Row],[L_S1n]]&amp;"=   "&amp;TEXT(TabCalc[[#This Row],[ReverseB1]],"#,#0"),"")</f>
        <v>62.73x750=   -12,079</v>
      </c>
      <c r="J15" s="295">
        <f ca="1">_xlfn.XLOOKUP(TabTRADER[[#This Row],[ClickTick]],TabCalc[Ticker],ListGravity)</f>
        <v>1.147640791476408</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0.36095784006590592</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0.40644592506197802</v>
      </c>
      <c r="S15" s="683">
        <f ca="1">_xlfn.XLOOKUP(TabTRADER[[#This Row],[ClickTick]],TabCalc[Ticker],TabCalc[Rev(MinStock)])*(1-Commission)</f>
        <v>22.724572094000003</v>
      </c>
      <c r="T15" s="782">
        <f ca="1">_xlfn.XLOOKUP(TabTRADER[[#This Row],[ClickTick]],TabCalc[Ticker],TabCalc[Agiotage])</f>
        <v>0.36095784006590592</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15" s="739" t="str">
        <f ca="1">_xlfn.XLOOKUP(TabTRADER[[#This Row],[ClickTick]],[1]!RTData[Ticker_Symbol],[1]!RTData[Currency])</f>
        <v>USD</v>
      </c>
      <c r="W15" s="749">
        <f ca="1">_xlfn.XLOOKUP(TabTRADER[[#This Row],[ClickTick]],TabCalc[Ticker],TabCalc[M])</f>
        <v>78.84</v>
      </c>
      <c r="X15" s="1343"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4.144197000000001</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22.724572094000003</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0.40644592506197802</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5.0101674277016756E-2</v>
      </c>
      <c r="AL15" s="825" cm="1">
        <f t="array" aca="1" ref="AL15" ca="1">_xlfn.IFS(   TabTRADER[[#This Row],[Traps]]=SellMorePercentGain,                     MIN(TabTRADER[[#This Row],[L_Sn]],TabTRADER[[#This Row],[N]])*(TabTRADER[[#This Row],[M]]-TabTRADER[[#This Row],[L_Sp]])*(1-Commission)*TabTRADER[[#This Row],[Scale]],                    TRUE,"")</f>
        <v>4.144197000000001</v>
      </c>
      <c r="AM15" s="1175">
        <f ca="1">_xlfn.XLOOKUP(TabTRADER[[#This Row],[ClickTick]],TabCalc[Ticker],TabCalc[Ann%RevLB])</f>
        <v>0.51521314444476096</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0.40384592506197803</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31.960881820383445</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-1.9%</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1x22.78</v>
      </c>
      <c r="AU15" s="765" cm="1">
        <f t="array" aca="1" ref="AU15" ca="1">_xlfn.IFS(TabTRADER[[#This Row],[Traps]]=ReSaleGain,"",         TabTRADER[[#This Row],[Traps]]=MDown, (TabTRADER[[#This Row],[M]]-TabTRADER[[#This Row],[A]])/TabTRADER[[#This Row],[A]]*ComFactor,             TRUE, IFERROR((TabTRADER[[#This Row],[M]]-TabTRADER[[#This Row],[A]])/TabTRADER[[#This Row],[A]]*ComFactor,""))</f>
        <v>0.40538916565681687</v>
      </c>
      <c r="AV15" s="762" cm="1">
        <f t="array" aca="1" ref="AV15" ca="1">_xlfn.IFS(               TabTRADER[[#This Row],[Traps]]=NoStock,(TabTRADER[[#This Row],[L_Sp]]-TabTRADER[[#This Row],[M]])/TabTRADER[[#This Row],[M]]-Commission,             TabTRADER[[#This Row],[A]]&lt;&gt;0,(TabTRADER[[#This Row],[A]]-TabTRADER[[#This Row],[M]])/TabTRADER[[#This Row],[M]]-Commission)</f>
        <v>-0.29158795027904616</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-5.5633661377786719E-2</v>
      </c>
      <c r="AZ15" s="729">
        <f ca="1">TabTRADER[[#This Row],[L_Sn]]*(TabTRADER[[#This Row],[M]]-TabTRADER[[#This Row],[L_Sp]])*(1-Commission)*TabTRADER[[#This Row],[Scale]]</f>
        <v>1031.9050530000002</v>
      </c>
      <c r="BA15" s="692">
        <f ca="1">TabTRADER[[#This Row],[L_Sn]]*(TabTRADER[[#This Row],[Agiotage]]-TabTRADER[[#This Row],[M]])/(TabTRADER[[#This Row],[L_Bn]]*TabTRADER[[#This Row],[M]])</f>
        <v>-0.12392999427843475</v>
      </c>
      <c r="BB15" s="635">
        <f ca="1">IFERROR((TabTRADER[[#This Row],[M]]-TabTRADER[[#This Row],[A]])/TabTRADER[[#This Row],[A]],0)</f>
        <v>0.40644592506197802</v>
      </c>
      <c r="BC15" s="638" t="str">
        <f ca="1">TEXT(_xlfn.XLOOKUP(TabTRADER[[#This Row],[ClickTick]],TabCalc[Ticker],TabCalc[NAfter]),"#,#0")&amp;" : "&amp;TEXT(_xlfn.XLOOKUP(TabTRADER[[#This Row],[ClickTick]],TabCalc[Ticker],TabCalc[NAfter])*(TabTRADER[[#This Row],[M]]-TabTRADER[[#This Row],[A]])*(1-Commission)*TabTRADER[[#This Row],[Scale]],"#,#0$")</f>
        <v>1 : 23$</v>
      </c>
      <c r="BD15" s="684">
        <f ca="1">_xlfn.XLOOKUP(TabTRADER[[#This Row],[ClickTick]],TabCalc[[#This Row],[Ticker]],TabCalc[[#This Row],[GL]])*(1-Commission)</f>
        <v>-44330.166115000007</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5.2701674277016754E-2</v>
      </c>
      <c r="BJ15" s="679">
        <f ca="1">TabTRADER[[#This Row],[L_Sn]]*TabTRADER[[#This Row],[L_Sp]]+TabTRADER[[#This Row],[SellMore]]*TabTRADER[[#This Row],[M]]</f>
        <v>18675.405000000002</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74.701620000000005</v>
      </c>
      <c r="BN15" s="687">
        <f ca="1">((_xlfn.XLOOKUP(TabTRADER[[#This Row],[ClickTick]],TabCalc[Ticker],TabCalc[NAfter])+TabTRADER[[#This Row],[L_Sn]])*(TabTRADER[[#This Row],[Agiotage]]-TabTRADER[[#This Row],[M]]))/(TabTRADER[[#This Row],[L_Sn]]*_xlfn.XLOOKUP(TabTRADER[[#This Row],[ClickTick]],TabCalc[Ticker],TabCalc[NAfter]))</f>
        <v>-78.794219036078402</v>
      </c>
      <c r="BO15" s="687">
        <f ca="1">(TabTRADER[[#This Row],[M]]-TabTRADER[[#This Row],[Agiotage]])/(TabTRADER[[#This Row],[M]]-TabTRADER[[#This Row],[A]])-1</f>
        <v>2.4445091562795724</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+6,300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14.2%</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-21,525$</v>
      </c>
      <c r="G16" s="225" t="str">
        <f ca="1">IFERROR(TRUNC(_xlfn.XLOOKUP(TabTRADER[[#This Row],[ClickTick]],TabCalc[Ticker],ListLastSalep),2)&amp;"x"&amp;_xlfn.XLOOKUP(TabTRADER[[#This Row],[ClickTick]],TabCalc[Ticker],ListLastSalen)&amp;"=   "&amp;TEXT(-_xlfn.XLOOKUP(TabTRADER[[#This Row],[ClickTick]],TabCalc[Ticker],ListReverseB),"#,#0")&amp;"$","")</f>
        <v>3.15x10000=   -9,250$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41.6% = 5,405</v>
      </c>
      <c r="I16" s="226" t="str">
        <f ca="1">IFERROR(TRUNC(TabCalc[[#This Row],[L_S1p]],2)&amp;"x"&amp;TabCalc[[#This Row],[L_S1n]]&amp;"=   "&amp;TEXT(TabCalc[[#This Row],[ReverseB1]],"#,#0"),"")</f>
        <v>3.08x5000=   4,275</v>
      </c>
      <c r="J16" s="295">
        <f ca="1">_xlfn.XLOOKUP(TabTRADER[[#This Row],[ClickTick]],TabCalc[Ticker],ListGravity)</f>
        <v>1.4606741573033708</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100125</v>
      </c>
      <c r="M16" s="323">
        <f ca="1">_xlfn.XLOOKUP(TabTRADER[[#This Row],[ClickTick]],TabCalc[Ticker],TabCalc[Agiotage])</f>
        <v>0.54788075577674089</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 xml:space="preserve">40,000: </v>
      </c>
      <c r="P16" s="734">
        <f ca="1">_xlfn.XLOOKUP(TabTRADER[[#This Row],[ClickTick]],TabCalc[Ticker],TabCalc[L_Bn])</f>
        <v>20000</v>
      </c>
      <c r="Q16" s="681">
        <f ca="1">_xlfn.XLOOKUP(TabTRADER[[#This Row],[ClickTick]],TabCalc[Ticker],TabCalc[L_Bp])</f>
        <v>-1.91</v>
      </c>
      <c r="R16" s="764">
        <f ca="1">(TabTRADER[[#This Row],[M]]+TabTRADER[[#This Row],[L_Bp]])/ABS(TabTRADER[[#This Row],[L_Bp]])</f>
        <v>0.16492146596858648</v>
      </c>
      <c r="S16" s="683">
        <f ca="1">_xlfn.XLOOKUP(TabTRADER[[#This Row],[ClickTick]],TabCalc[Ticker],TabCalc[Rev(MinStock)])*(1-Commission)</f>
        <v>6283.6200000000035</v>
      </c>
      <c r="T16" s="782">
        <f ca="1">_xlfn.XLOOKUP(TabTRADER[[#This Row],[ClickTick]],TabCalc[Ticker],TabCalc[Agiotage])</f>
        <v>0.54788075577674089</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425/425=&gt;-1.1% / -1.1%</v>
      </c>
      <c r="V16" s="739" t="str">
        <f ca="1">_xlfn.XLOOKUP(TabTRADER[[#This Row],[ClickTick]],[1]!RTData[Ticker_Symbol],[1]!RTData[Currency])</f>
        <v>USD</v>
      </c>
      <c r="W16" s="749">
        <f ca="1">_xlfn.XLOOKUP(TabTRADER[[#This Row],[ClickTick]],TabCalc[Ticker],TabCalc[M])</f>
        <v>2.2250000000000001</v>
      </c>
      <c r="X16" s="1343"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-323/189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9225.9499999999971</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9225.9499999999971</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0.29365079365079361</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0.33354903229601762</v>
      </c>
      <c r="AN16" s="1282">
        <f ca="1">_xlfn.XLOOKUP(TabTRADER[[#This Row],[ClickTick]],TabCalc[Ticker],TabCalc[Up20])</f>
        <v>0.35714285714285715</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-64606.58499999997</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-0.25445681370618345</v>
      </c>
      <c r="AV16" s="762" cm="1">
        <f t="array" aca="1" ref="AV16" ca="1">_xlfn.IFS(               TabTRADER[[#This Row],[Traps]]=NoStock,(TabTRADER[[#This Row],[L_Sp]]-TabTRADER[[#This Row],[M]])/TabTRADER[[#This Row],[M]]-Commission,             TabTRADER[[#This Row],[A]]&lt;&gt;0,(TabTRADER[[#This Row],[A]]-TabTRADER[[#This Row],[M]])/TabTRADER[[#This Row],[M]]-Commission)</f>
        <v>0.33989834765366805</v>
      </c>
      <c r="AW16" s="324">
        <f ca="1">_xlfn.XLOOKUP(TabTRADER[[#This Row],[ClickTick]],TabCalc[Ticker],TabCalc[L_Sn])</f>
        <v>10000</v>
      </c>
      <c r="AX16" s="728">
        <f ca="1">_xlfn.XLOOKUP(TabTRADER[[#This Row],[ClickTick]],TabCalc[Ticker],TabCalc[L_Sp])</f>
        <v>3.15</v>
      </c>
      <c r="AY16" s="764">
        <f ca="1">-IFERROR((TabTRADER[[#This Row],[M]]-TabTRADER[[#This Row],[L_Sp]])/TabTRADER[[#This Row],[L_Sp]],0)</f>
        <v>0.29365079365079361</v>
      </c>
      <c r="AZ16" s="729">
        <f ca="1">TabTRADER[[#This Row],[L_Sn]]*(TabTRADER[[#This Row],[M]]-TabTRADER[[#This Row],[L_Sp]])*(1-Commission)*TabTRADER[[#This Row],[Scale]]</f>
        <v>-9225.9499999999971</v>
      </c>
      <c r="BA16" s="692">
        <f ca="1">TabTRADER[[#This Row],[L_Sn]]*(TabTRADER[[#This Row],[Agiotage]]-TabTRADER[[#This Row],[M]])/(TabTRADER[[#This Row],[L_Bn]]*TabTRADER[[#This Row],[M]])</f>
        <v>-0.37688072903893471</v>
      </c>
      <c r="BB16" s="635">
        <f ca="1">IFERROR((TabTRADER[[#This Row],[M]]-TabTRADER[[#This Row],[A]])/TabTRADER[[#This Row],[A]],0)</f>
        <v>-0.25512012603387152</v>
      </c>
      <c r="BC16" s="638" t="str">
        <f ca="1">TEXT(_xlfn.XLOOKUP(TabTRADER[[#This Row],[ClickTick]],TabCalc[Ticker],TabCalc[NAfter]),"#,#0")&amp;" : "&amp;TEXT(_xlfn.XLOOKUP(TabTRADER[[#This Row],[ClickTick]],TabCalc[Ticker],TabCalc[NAfter])*(TabTRADER[[#This Row],[M]]-TabTRADER[[#This Row],[A]])*(1-Commission)*TabTRADER[[#This Row],[Scale]],"#,#0$")</f>
        <v>85,000 : -64,607$</v>
      </c>
      <c r="BD16" s="684">
        <f ca="1">_xlfn.XLOOKUP(TabTRADER[[#This Row],[ClickTick]],TabCalc[[#This Row],[Ticker]],TabCalc[[#This Row],[GL]])*(1-Commission)</f>
        <v>-322648.42729999998</v>
      </c>
      <c r="BE16" s="684"/>
      <c r="BF16" s="669" t="str">
        <f ca="1">TabTRADER[[#This Row],[ClickTick]]&amp;": "&amp;_xlfn.XLOOKUP(TabTRADER[[#This Row],[ClickTick]],TabCalc[Ticker],TabCalc[Pile?])</f>
        <v xml:space="preserve">DDD: </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-1.8744273906024663E-4</v>
      </c>
      <c r="BO16" s="687">
        <f ca="1">(TabTRADER[[#This Row],[M]]-TabTRADER[[#This Row],[Agiotage]])/(TabTRADER[[#This Row],[M]]-TabTRADER[[#This Row],[A]])-1</f>
        <v>-3.2007739985947832</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-4,134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1,160$</v>
      </c>
      <c r="G17" s="225" t="str">
        <f ca="1">IFERROR(TRUNC(_xlfn.XLOOKUP(TabTRADER[[#This Row],[ClickTick]],TabCalc[Ticker],ListLastSalep),2)&amp;"x"&amp;_xlfn.XLOOKUP(TabTRADER[[#This Row],[ClickTick]],TabCalc[Ticker],ListLastSalen)&amp;"=   "&amp;TEXT(-_xlfn.XLOOKUP(TabTRADER[[#This Row],[ClickTick]],TabCalc[Ticker],ListReverseB),"#,#0")&amp;"$","")</f>
        <v>119.38x800=   -6,920$</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7.8% = 578</v>
      </c>
      <c r="I17" s="226" t="str">
        <f ca="1">IFERROR(TRUNC(TabCalc[[#This Row],[L_S1p]],2)&amp;"x"&amp;TabCalc[[#This Row],[L_S1n]]&amp;"=   "&amp;TEXT(TabCalc[[#This Row],[ReverseB1]],"#,#0"),"")</f>
        <v>117.4x400=   2,668</v>
      </c>
      <c r="J17" s="295">
        <f ca="1">_xlfn.XLOOKUP(TabTRADER[[#This Row],[ClickTick]],TabCalc[Ticker],ListGravity)</f>
        <v>1.2108046599837441</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71974.5</v>
      </c>
      <c r="M17" s="323">
        <f ca="1">_xlfn.XLOOKUP(TabTRADER[[#This Row],[ClickTick]],TabCalc[Ticker],TabCalc[Agiotage])</f>
        <v>0.86820077434090825</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-4.4586811622338615E-2</v>
      </c>
      <c r="S17" s="683">
        <f ca="1">_xlfn.XLOOKUP(TabTRADER[[#This Row],[ClickTick]],TabCalc[Ticker],TabCalc[Rev(MinStock)])*(1-Commission)</f>
        <v>-4123.2515999999914</v>
      </c>
      <c r="T17" s="782">
        <f ca="1">_xlfn.XLOOKUP(TabTRADER[[#This Row],[ClickTick]],TabCalc[Ticker],TabCalc[Agiotage])</f>
        <v>0.86820077434090825</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380/380=&gt;0.2% / 0.2%</v>
      </c>
      <c r="V17" s="739" t="str">
        <f ca="1">_xlfn.XLOOKUP(TabTRADER[[#This Row],[ClickTick]],[1]!RTData[Ticker_Symbol],[1]!RTData[Currency])</f>
        <v>USD</v>
      </c>
      <c r="W17" s="749">
        <f ca="1">_xlfn.XLOOKUP(TabTRADER[[#This Row],[ClickTick]],TabCalc[Ticker],TabCalc[M])</f>
        <v>110.73</v>
      </c>
      <c r="X17" s="1343"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^19/111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4123.2515999999914</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110730</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3.3550369193708816E-2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4.406756976429143E-2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-0.27674572731106728</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4.6667569764291428E-2</v>
      </c>
      <c r="AP17" s="825" cm="1">
        <f t="array" aca="1" ref="AP17" ca="1">_xlfn.IFS(         TabTRADER[[#This Row],[Traps]]=MDown,TabTRADER[[#This Row],[L_Bn]]*TabTRADER[[#This Row],[M]]*(-(TabTRADER[[#This Row],[L_Bp]]+TabTRADER[[#This Row],[M]])/TabTRADER[[#This Row],[M]])*(1-Commission)*TabTRADER[[#This Row],[Scale]],                               TRUE,"")</f>
        <v>4123.2515999999914</v>
      </c>
      <c r="AQ17" s="1186" cm="1">
        <f t="array" aca="1" ref="AQ17" ca="1">_xlfn.IFS(   TabTRADER[[#This Row],[Traps]]=MUp,TabTRADER[[#This Row],[TakeGain_A]]-Commission,        TabTRADER[[#This Row],[Traps]]=MDown,(TabTRADER[[#This Row],[A]]-TabTRADER[[#This Row],[M]])/TabTRADER[[#This Row],[M]]-Commission,                              TRUE,"")</f>
        <v>3.2115072699358746E-2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3834.005599999994</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-5.16</v>
      </c>
      <c r="AU17" s="765" cm="1">
        <f t="array" aca="1" ref="AU17" ca="1">_xlfn.IFS(TabTRADER[[#This Row],[Traps]]=ReSaleGain,"",         TabTRADER[[#This Row],[Traps]]=MDown, (TabTRADER[[#This Row],[M]]-TabTRADER[[#This Row],[A]])/TabTRADER[[#This Row],[A]]*ComFactor,             TRUE, IFERROR((TabTRADER[[#This Row],[M]]-TabTRADER[[#This Row],[A]])/TabTRADER[[#This Row],[A]]*ComFactor,""))</f>
        <v>-3.3463138233805173E-2</v>
      </c>
      <c r="AV17" s="762" cm="1">
        <f t="array" aca="1" ref="AV17" ca="1">_xlfn.IFS(               TabTRADER[[#This Row],[Traps]]=NoStock,(TabTRADER[[#This Row],[L_Sp]]-TabTRADER[[#This Row],[M]])/TabTRADER[[#This Row],[M]]-Commission,             TabTRADER[[#This Row],[A]]&lt;&gt;0,(TabTRADER[[#This Row],[A]]-TabTRADER[[#This Row],[M]])/TabTRADER[[#This Row],[M]]-Commission)</f>
        <v>3.2115072699358746E-2</v>
      </c>
      <c r="AW17" s="324">
        <f ca="1">_xlfn.XLOOKUP(TabTRADER[[#This Row],[ClickTick]],TabCalc[Ticker],TabCalc[L_Sn])</f>
        <v>800</v>
      </c>
      <c r="AX17" s="728">
        <f ca="1">_xlfn.XLOOKUP(TabTRADER[[#This Row],[ClickTick]],TabCalc[Ticker],TabCalc[L_Sp])</f>
        <v>119.38</v>
      </c>
      <c r="AY17" s="764">
        <f ca="1">-IFERROR((TabTRADER[[#This Row],[M]]-TabTRADER[[#This Row],[L_Sp]])/TabTRADER[[#This Row],[L_Sp]],0)</f>
        <v>7.2457698106885501E-2</v>
      </c>
      <c r="AZ17" s="729">
        <f ca="1">TabTRADER[[#This Row],[L_Sn]]*(TabTRADER[[#This Row],[M]]-TabTRADER[[#This Row],[L_Sp]])*(1-Commission)*TabTRADER[[#This Row],[Scale]]</f>
        <v>-6902.0079999999925</v>
      </c>
      <c r="BA17" s="692">
        <f ca="1">TabTRADER[[#This Row],[L_Sn]]*(TabTRADER[[#This Row],[Agiotage]]-TabTRADER[[#This Row],[M]])/(TabTRADER[[#This Row],[L_Bn]]*TabTRADER[[#This Row],[M]])</f>
        <v>-0.99215929942796988</v>
      </c>
      <c r="BB17" s="635">
        <f ca="1">IFERROR((TabTRADER[[#This Row],[M]]-TabTRADER[[#This Row],[A]])/TabTRADER[[#This Row],[A]],0)</f>
        <v>-3.3550369193708816E-2</v>
      </c>
      <c r="BC17" s="638" t="str">
        <f ca="1">TEXT(_xlfn.XLOOKUP(TabTRADER[[#This Row],[ClickTick]],TabCalc[Ticker],TabCalc[NAfter]),"#,#0")&amp;" : "&amp;TEXT(_xlfn.XLOOKUP(TabTRADER[[#This Row],[ClickTick]],TabCalc[Ticker],TabCalc[NAfter])*(TabTRADER[[#This Row],[M]]-TabTRADER[[#This Row],[A]])*(1-Commission)*TabTRADER[[#This Row],[Scale]],"#,#0$")</f>
        <v>1,000 : -3,834$</v>
      </c>
      <c r="BD17" s="684">
        <f ca="1">_xlfn.XLOOKUP(TabTRADER[[#This Row],[ClickTick]],TabCalc[[#This Row],[Ticker]],TabCalc[[#This Row],[GL]])*(1-Commission)</f>
        <v>18983.003531199953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4.6667569764291428E-2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-0.24718904825773297</v>
      </c>
      <c r="BO17" s="687">
        <f ca="1">(TabTRADER[[#This Row],[M]]-TabTRADER[[#This Row],[Agiotage]])/(TabTRADER[[#This Row],[M]]-TabTRADER[[#This Row],[A]])-1</f>
        <v>-29.580072639349446</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-6,600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-3,805$</v>
      </c>
      <c r="G18" s="225" t="str">
        <f ca="1">IFERROR(TRUNC(_xlfn.XLOOKUP(TabTRADER[[#This Row],[ClickTick]],TabCalc[Ticker],ListLastSalep),2)&amp;"x"&amp;_xlfn.XLOOKUP(TabTRADER[[#This Row],[ClickTick]],TabCalc[Ticker],ListLastSalen)&amp;"=   "&amp;TEXT(-_xlfn.XLOOKUP(TabTRADER[[#This Row],[ClickTick]],TabCalc[Ticker],ListReverseB),"#,#0")&amp;"$","")</f>
        <v>29.14x2000=   -11,600$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24.9% = 862</v>
      </c>
      <c r="I18" s="226" t="str">
        <f ca="1">IFERROR(TRUNC(TabCalc[[#This Row],[L_S1p]],2)&amp;"x"&amp;TabCalc[[#This Row],[L_S1n]]&amp;"=   "&amp;TEXT(TabCalc[[#This Row],[ReverseB1]],"#,#0"),"")</f>
        <v>38.69x500=   7,675</v>
      </c>
      <c r="J18" s="295">
        <f ca="1">_xlfn.XLOOKUP(TabTRADER[[#This Row],[ClickTick]],TabCalc[Ticker],ListGravity)</f>
        <v>1.3658003427592118</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87525</v>
      </c>
      <c r="M18" s="323">
        <f ca="1">_xlfn.XLOOKUP(TabTRADER[[#This Row],[ClickTick]],TabCalc[Ticker],TabCalc[Agiotage])</f>
        <v>0.97018179551316519</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-0.1238738738738739</v>
      </c>
      <c r="S18" s="683">
        <f ca="1">_xlfn.XLOOKUP(TabTRADER[[#This Row],[ClickTick]],TabCalc[Ticker],TabCalc[Rev(MinStock)])*(1-Commission)</f>
        <v>-6582.8400000000011</v>
      </c>
      <c r="T18" s="782">
        <f ca="1">_xlfn.XLOOKUP(TabTRADER[[#This Row],[ClickTick]],TabCalc[Ticker],TabCalc[Agiotage])</f>
        <v>0.97018179551316519</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18" s="739" t="str">
        <f ca="1">_xlfn.XLOOKUP(TabTRADER[[#This Row],[ClickTick]],[1]!RTData[Ticker_Symbol],[1]!RTData[Currency])</f>
        <v>EUR</v>
      </c>
      <c r="W18" s="749">
        <f ca="1">_xlfn.XLOOKUP(TabTRADER[[#This Row],[ClickTick]],TabCalc[Ticker],TabCalc[M])</f>
        <v>23.34</v>
      </c>
      <c r="X18" s="1343"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-12/93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11569.840000000002</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11569.840000000002</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0.1990391214824983</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-0.52464228934817181</v>
      </c>
      <c r="AN18" s="1281">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-26859.982000000007</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-0.22329355723667807</v>
      </c>
      <c r="AV18" s="762" cm="1">
        <f t="array" aca="1" ref="AV18" ca="1">_xlfn.IFS(               TabTRADER[[#This Row],[Traps]]=NoStock,(TabTRADER[[#This Row],[L_Sp]]-TabTRADER[[#This Row],[M]])/TabTRADER[[#This Row],[M]]-Commission,             TabTRADER[[#This Row],[A]]&lt;&gt;0,(TabTRADER[[#This Row],[A]]-TabTRADER[[#This Row],[M]])/TabTRADER[[#This Row],[M]]-Commission)</f>
        <v>0.28585329905741225</v>
      </c>
      <c r="AW18" s="324">
        <f ca="1">_xlfn.XLOOKUP(TabTRADER[[#This Row],[ClickTick]],TabCalc[Ticker],TabCalc[L_Sn])</f>
        <v>2000</v>
      </c>
      <c r="AX18" s="728">
        <f ca="1">_xlfn.XLOOKUP(TabTRADER[[#This Row],[ClickTick]],TabCalc[Ticker],TabCalc[L_Sp])</f>
        <v>29.14</v>
      </c>
      <c r="AY18" s="764">
        <f ca="1">-IFERROR((TabTRADER[[#This Row],[M]]-TabTRADER[[#This Row],[L_Sp]])/TabTRADER[[#This Row],[L_Sp]],0)</f>
        <v>0.1990391214824983</v>
      </c>
      <c r="AZ18" s="729">
        <f ca="1">TabTRADER[[#This Row],[L_Sn]]*(TabTRADER[[#This Row],[M]]-TabTRADER[[#This Row],[L_Sp]])*(1-Commission)*TabTRADER[[#This Row],[Scale]]</f>
        <v>-11569.840000000002</v>
      </c>
      <c r="BA18" s="692">
        <f ca="1">TabTRADER[[#This Row],[L_Sn]]*(TabTRADER[[#This Row],[Agiotage]]-TabTRADER[[#This Row],[M]])/(TabTRADER[[#This Row],[L_Bn]]*TabTRADER[[#This Row],[M]])</f>
        <v>-0.95843265657612831</v>
      </c>
      <c r="BB18" s="635">
        <f ca="1">IFERROR((TabTRADER[[#This Row],[M]]-TabTRADER[[#This Row],[A]])/TabTRADER[[#This Row],[A]],0)</f>
        <v>-0.22387563388477849</v>
      </c>
      <c r="BC18" s="638" t="str">
        <f ca="1">TEXT(_xlfn.XLOOKUP(TabTRADER[[#This Row],[ClickTick]],TabCalc[Ticker],TabCalc[NAfter]),"#,#0")&amp;" : "&amp;TEXT(_xlfn.XLOOKUP(TabTRADER[[#This Row],[ClickTick]],TabCalc[Ticker],TabCalc[NAfter])*(TabTRADER[[#This Row],[M]]-TabTRADER[[#This Row],[A]])*(1-Commission)*TabTRADER[[#This Row],[Scale]],"#,#0$")</f>
        <v>4,000 : -26,860$</v>
      </c>
      <c r="BD18" s="684">
        <f ca="1">_xlfn.XLOOKUP(TabTRADER[[#This Row],[ClickTick]],TabCalc[[#This Row],[Ticker]],TabCalc[[#This Row],[GL]])*(1-Commission)</f>
        <v>-12455.124260800061</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-1.6777363653365126E-2</v>
      </c>
      <c r="BO18" s="687">
        <f ca="1">(TabTRADER[[#This Row],[M]]-TabTRADER[[#This Row],[Agiotage]])/(TabTRADER[[#This Row],[M]]-TabTRADER[[#This Row],[A]])-1</f>
        <v>-4.3226614488654782</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-118.68x1600=    +6,503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3.8%</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-127.09x400=   -1,506$</v>
      </c>
      <c r="G19" s="225" t="str">
        <f ca="1">IFERROR(TRUNC(_xlfn.XLOOKUP(TabTRADER[[#This Row],[ClickTick]],TabCalc[Ticker],ListLastSalep),2)&amp;"x"&amp;_xlfn.XLOOKUP(TabTRADER[[#This Row],[ClickTick]],TabCalc[Ticker],ListLastSalen)&amp;"=   "&amp;TEXT(-_xlfn.XLOOKUP(TabTRADER[[#This Row],[ClickTick]],TabCalc[Ticker],ListReverseB),"#,#0")&amp;"$","")</f>
        <v>123.44x1600=   -184$</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0.1% = 43,478</v>
      </c>
      <c r="I19" s="226" t="str">
        <f ca="1">IFERROR(TRUNC(TabCalc[[#This Row],[L_S1p]],2)&amp;"x"&amp;TabCalc[[#This Row],[L_S1n]]&amp;"=   "&amp;TEXT(TabCalc[[#This Row],[ReverseB1]],"#,#0"),"")</f>
        <v>151.72x400=   11,358</v>
      </c>
      <c r="J19" s="295">
        <f ca="1">_xlfn.XLOOKUP(TabTRADER[[#This Row],[ClickTick]],TabCalc[Ticker],ListGravity)</f>
        <v>1.1929860125684169</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49330</v>
      </c>
      <c r="M19" s="323">
        <f ca="1">_xlfn.XLOOKUP(TabTRADER[[#This Row],[ClickTick]],TabCalc[Ticker],TabCalc[Agiotage])</f>
        <v>0.87413345869595827</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-118.68</v>
      </c>
      <c r="R19" s="764">
        <f ca="1">(TabTRADER[[#This Row],[M]]+TabTRADER[[#This Row],[L_Bp]])/ABS(TabTRADER[[#This Row],[L_Bp]])</f>
        <v>3.9138860802157026E-2</v>
      </c>
      <c r="S19" s="683">
        <f ca="1">_xlfn.XLOOKUP(TabTRADER[[#This Row],[ClickTick]],TabCalc[Ticker],TabCalc[Rev(MinStock)])*(1-Commission)</f>
        <v>6486.0921999999946</v>
      </c>
      <c r="T19" s="782">
        <f ca="1">_xlfn.XLOOKUP(TabTRADER[[#This Row],[ClickTick]],TabCalc[Ticker],TabCalc[Agiotage])</f>
        <v>0.87413345869595827</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3,171/3,171=&gt;1.5% / 1.5%</v>
      </c>
      <c r="V19" s="739" t="str">
        <f ca="1">_xlfn.XLOOKUP(TabTRADER[[#This Row],[ClickTick]],[1]!RTData[Ticker_Symbol],[1]!RTData[Currency])</f>
        <v>USD</v>
      </c>
      <c r="W19" s="749">
        <f ca="1">_xlfn.XLOOKUP(TabTRADER[[#This Row],[ClickTick]],TabCalc[Ticker],TabCalc[M])</f>
        <v>123.325</v>
      </c>
      <c r="X19" s="1343"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126.96610000000001</v>
      </c>
      <c r="AB19" s="817" cm="1">
        <f t="array" aca="1" ref="AB19" ca="1">_xlfn.XLOOKUP(TabTRADER[[#This Row],[ClickTick]],ListTickers,Tab1ChangePercent[Change%19])</f>
        <v>1.477E-2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^37/173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9" s="1177" t="str" cm="1">
        <f t="array" aca="1" ref="AF19" ca="1">_xlfn.IFS(       TabTRADER[[#This Row],[Traps]]=RePurchaseGain,TEXT(TabTRADER[[#This Row],[L_Sn]],"#,#0")&amp;" x "&amp;TEXT(TabTRADER[[#This Row],[L_Sp]],"#,#0.#0"),     TabTRADER[[#This Row],[Traps]]=ReSaleGain,TEXT(TabTRADER[[#This Row],[L_Bn]],"#0,#0")&amp;" x "&amp;TEXT(TabTRADER[[#This Row],[L_Bp]],"#,#0.#0"),               TRUE,"")</f>
        <v>1,600 x 123.44</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183.52159999999182</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183.52159999999182</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9.31626701231326E-4</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4.6966632962588433</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-5084.2863960000113</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-0.9%</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9" s="765" cm="1">
        <f t="array" aca="1" ref="AU19" ca="1">_xlfn.IFS(TabTRADER[[#This Row],[Traps]]=ReSaleGain,"",         TabTRADER[[#This Row],[Traps]]=MDown, (TabTRADER[[#This Row],[M]]-TabTRADER[[#This Row],[A]])/TabTRADER[[#This Row],[A]]*ComFactor,             TRUE, IFERROR((TabTRADER[[#This Row],[M]]-TabTRADER[[#This Row],[A]])/TabTRADER[[#This Row],[A]]*ComFactor,""))</f>
        <v>-2.8603171555241974E-2</v>
      </c>
      <c r="AV19" s="762" cm="1">
        <f t="array" aca="1" ref="AV19" ca="1">_xlfn.IFS(               TabTRADER[[#This Row],[Traps]]=NoStock,(TabTRADER[[#This Row],[L_Sp]]-TabTRADER[[#This Row],[M]])/TabTRADER[[#This Row],[M]]-Commission,             TabTRADER[[#This Row],[A]]&lt;&gt;0,(TabTRADER[[#This Row],[A]]-TabTRADER[[#This Row],[M]])/TabTRADER[[#This Row],[M]]-Commission)</f>
        <v>2.6924427326170758E-2</v>
      </c>
      <c r="AW19" s="324">
        <f ca="1">_xlfn.XLOOKUP(TabTRADER[[#This Row],[ClickTick]],TabCalc[Ticker],TabCalc[L_Sn])</f>
        <v>1600</v>
      </c>
      <c r="AX19" s="728">
        <f ca="1">_xlfn.XLOOKUP(TabTRADER[[#This Row],[ClickTick]],TabCalc[Ticker],TabCalc[L_Sp])</f>
        <v>123.44</v>
      </c>
      <c r="AY19" s="764">
        <f ca="1">-IFERROR((TabTRADER[[#This Row],[M]]-TabTRADER[[#This Row],[L_Sp]])/TabTRADER[[#This Row],[L_Sp]],0)</f>
        <v>9.31626701231326E-4</v>
      </c>
      <c r="AZ19" s="729">
        <f ca="1">TabTRADER[[#This Row],[L_Sn]]*(TabTRADER[[#This Row],[M]]-TabTRADER[[#This Row],[L_Sp]])*(1-Commission)*TabTRADER[[#This Row],[Scale]]</f>
        <v>-183.52159999999182</v>
      </c>
      <c r="BA19" s="692">
        <f ca="1">TabTRADER[[#This Row],[L_Sn]]*(TabTRADER[[#This Row],[Agiotage]]-TabTRADER[[#This Row],[M]])/(TabTRADER[[#This Row],[L_Bn]]*TabTRADER[[#This Row],[M]])</f>
        <v>-0.99291195249384989</v>
      </c>
      <c r="BB19" s="635">
        <f ca="1">IFERROR((TabTRADER[[#This Row],[M]]-TabTRADER[[#This Row],[A]])/TabTRADER[[#This Row],[A]],0)</f>
        <v>-2.8677733662765166E-2</v>
      </c>
      <c r="BC19" s="638" t="str">
        <f ca="1">TEXT(_xlfn.XLOOKUP(TabTRADER[[#This Row],[ClickTick]],TabCalc[Ticker],TabCalc[NAfter]),"#,#0")&amp;" : "&amp;TEXT(_xlfn.XLOOKUP(TabTRADER[[#This Row],[ClickTick]],TabCalc[Ticker],TabCalc[NAfter])*(TabTRADER[[#This Row],[M]]-TabTRADER[[#This Row],[A]])*(1-Commission)*TabTRADER[[#This Row],[Scale]],"#,#0$")</f>
        <v>1,400 : -5,084$</v>
      </c>
      <c r="BD19" s="684">
        <f ca="1">_xlfn.XLOOKUP(TabTRADER[[#This Row],[ClickTick]],TabCalc[[#This Row],[Ticker]],TabCalc[[#This Row],[GL]])*(1-Commission)</f>
        <v>36461.143905999939</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AMY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t="e">
        <f ca="1">TabTRADER[[#This Row],[L_Sn]]*TabTRADER[[#This Row],[L_Sp]]+TabTRADER[[#This Row],[SellMore]]*TabTRADER[[#This Row],[M]]</f>
        <v>#N/A</v>
      </c>
      <c r="BK19" s="679" t="e">
        <f ca="1">INDEX(
  INDEX(TabConsolid[], , _xlfn.XMATCH(TabTRADER[[#This Row],[ClickTick]]&amp;1, TabConsolid[#Headers])),
  MATCH(
    -TabTRADER[[#This Row],[M]],
    INDEX(TabConsolid[], , _xlfn.XMATCH(TabTRADER[[#This Row],[ClickTick]]&amp;2, TabConsolid[#Headers])),
    -1
  )
)</f>
        <v>#N/A</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9" s="1156" t="e">
        <f ca="1">TabTRADER[[#This Row],[ReBuy]]/(TabTRADER[[#This Row],[L_Sn]]+TabTRADER[[#This Row],[SellMore]])</f>
        <v>#N/A</v>
      </c>
      <c r="BN19" s="687">
        <f ca="1">((_xlfn.XLOOKUP(TabTRADER[[#This Row],[ClickTick]],TabCalc[Ticker],TabCalc[NAfter])+TabTRADER[[#This Row],[L_Sn]])*(TabTRADER[[#This Row],[Agiotage]]-TabTRADER[[#This Row],[M]]))/(TabTRADER[[#This Row],[L_Sn]]*_xlfn.XLOOKUP(TabTRADER[[#This Row],[ClickTick]],TabCalc[Ticker],TabCalc[NAfter]))</f>
        <v>-0.16399669626067506</v>
      </c>
      <c r="BO19" s="687">
        <f ca="1">(TabTRADER[[#This Row],[M]]-TabTRADER[[#This Row],[Agiotage]])/(TabTRADER[[#This Row],[M]]-TabTRADER[[#This Row],[A]])-1</f>
        <v>-34.63018498291828</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-5,220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-21,570$</v>
      </c>
      <c r="G20" s="225" t="str">
        <f ca="1">IFERROR(TRUNC(_xlfn.XLOOKUP(TabTRADER[[#This Row],[ClickTick]],TabCalc[Ticker],ListLastSalep),2)&amp;"x"&amp;_xlfn.XLOOKUP(TabTRADER[[#This Row],[ClickTick]],TabCalc[Ticker],ListLastSalen)&amp;"=   "&amp;TEXT(-_xlfn.XLOOKUP(TabTRADER[[#This Row],[ClickTick]],TabCalc[Ticker],ListReverseB),"#,#0")&amp;"$","")</f>
        <v>20.32x4000=   -28,580$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54.2% = 700</v>
      </c>
      <c r="I20" s="226" t="str">
        <f ca="1">IFERROR(TRUNC(TabCalc[[#This Row],[L_S1p]],2)&amp;"x"&amp;TabCalc[[#This Row],[L_S1n]]&amp;"=   "&amp;TEXT(TabCalc[[#This Row],[ReverseB1]],"#,#0"),"")</f>
        <v>19.33x4000=   24,624</v>
      </c>
      <c r="J20" s="295">
        <f ca="1">_xlfn.XLOOKUP(TabTRADER[[#This Row],[ClickTick]],TabCalc[Ticker],ListGravity)</f>
        <v>1.1005692599620494</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54162.425000000003</v>
      </c>
      <c r="M20" s="323">
        <f ca="1">_xlfn.XLOOKUP(TabTRADER[[#This Row],[ClickTick]],TabCalc[Ticker],TabCalc[Agiotage])</f>
        <v>0.58101947699442602</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-9.0124309392265164E-2</v>
      </c>
      <c r="S20" s="683">
        <f ca="1">_xlfn.XLOOKUP(TabTRADER[[#This Row],[ClickTick]],TabCalc[Ticker],TabCalc[Rev(MinStock)])*(1-Commission)</f>
        <v>-5206.427999999999</v>
      </c>
      <c r="T20" s="782">
        <f ca="1">_xlfn.XLOOKUP(TabTRADER[[#This Row],[ClickTick]],TabCalc[Ticker],TabCalc[Agiotage])</f>
        <v>0.58101947699442602</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-1,950/-1,950=&gt;-3.4% / -3.4%</v>
      </c>
      <c r="V20" s="739" t="str">
        <f ca="1">_xlfn.XLOOKUP(TabTRADER[[#This Row],[ClickTick]],[1]!RTData[Ticker_Symbol],[1]!RTData[Currency])</f>
        <v>USD</v>
      </c>
      <c r="W20" s="749">
        <f ca="1">_xlfn.XLOOKUP(TabTRADER[[#This Row],[ClickTick]],TabCalc[Ticker],TabCalc[M])</f>
        <v>13.175000000000001</v>
      </c>
      <c r="X20" s="1343"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-49/79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5206.427999999999</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79050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0.16837620325074948</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9.6451233396584402E-2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-0.29765826955243541</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9.9051233396584407E-2</v>
      </c>
      <c r="AP20" s="825" cm="1">
        <f t="array" aca="1" ref="AP20" ca="1">_xlfn.IFS(         TabTRADER[[#This Row],[Traps]]=MDown,TabTRADER[[#This Row],[L_Bn]]*TabTRADER[[#This Row],[M]]*(-(TabTRADER[[#This Row],[L_Bp]]+TabTRADER[[#This Row],[M]])/TabTRADER[[#This Row],[M]])*(1-Commission)*TabTRADER[[#This Row],[Scale]],                               TRUE,"")</f>
        <v>5206.4279999999981</v>
      </c>
      <c r="AQ20" s="1186" cm="1">
        <f t="array" aca="1" ref="AQ20" ca="1">_xlfn.IFS(   TabTRADER[[#This Row],[Traps]]=MUp,TabTRADER[[#This Row],[TakeGain_A]]-Commission,        TabTRADER[[#This Row],[Traps]]=MDown,(TabTRADER[[#This Row],[A]]-TabTRADER[[#This Row],[M]])/TabTRADER[[#This Row],[M]]-Commission,                              TRUE,"")</f>
        <v>0.19986679316888034</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15963.386999999992</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v>
      </c>
      <c r="AU20" s="765" cm="1">
        <f t="array" aca="1" ref="AU20" ca="1">_xlfn.IFS(TabTRADER[[#This Row],[Traps]]=ReSaleGain,"",         TabTRADER[[#This Row],[Traps]]=MDown, (TabTRADER[[#This Row],[M]]-TabTRADER[[#This Row],[A]])/TabTRADER[[#This Row],[A]]*ComFactor,             TRUE, IFERROR((TabTRADER[[#This Row],[M]]-TabTRADER[[#This Row],[A]])/TabTRADER[[#This Row],[A]]*ComFactor,""))</f>
        <v>-0.16793842512229754</v>
      </c>
      <c r="AV20" s="762" cm="1">
        <f t="array" aca="1" ref="AV20" ca="1">_xlfn.IFS(               TabTRADER[[#This Row],[Traps]]=NoStock,(TabTRADER[[#This Row],[L_Sp]]-TabTRADER[[#This Row],[M]])/TabTRADER[[#This Row],[M]]-Commission,             TabTRADER[[#This Row],[A]]&lt;&gt;0,(TabTRADER[[#This Row],[A]]-TabTRADER[[#This Row],[M]])/TabTRADER[[#This Row],[M]]-Commission)</f>
        <v>0.19986679316888034</v>
      </c>
      <c r="AW20" s="324">
        <f ca="1">_xlfn.XLOOKUP(TabTRADER[[#This Row],[ClickTick]],TabCalc[Ticker],TabCalc[L_Sn])</f>
        <v>4000</v>
      </c>
      <c r="AX20" s="728">
        <f ca="1">_xlfn.XLOOKUP(TabTRADER[[#This Row],[ClickTick]],TabCalc[Ticker],TabCalc[L_Sp])</f>
        <v>20.32</v>
      </c>
      <c r="AY20" s="764">
        <f ca="1">-IFERROR((TabTRADER[[#This Row],[M]]-TabTRADER[[#This Row],[L_Sp]])/TabTRADER[[#This Row],[L_Sp]],0)</f>
        <v>0.35162401574803148</v>
      </c>
      <c r="AZ20" s="729">
        <f ca="1">TabTRADER[[#This Row],[L_Sn]]*(TabTRADER[[#This Row],[M]]-TabTRADER[[#This Row],[L_Sp]])*(1-Commission)*TabTRADER[[#This Row],[Scale]]</f>
        <v>-28505.691999999999</v>
      </c>
      <c r="BA20" s="692">
        <f ca="1">TabTRADER[[#This Row],[L_Sn]]*(TabTRADER[[#This Row],[Agiotage]]-TabTRADER[[#This Row],[M]])/(TabTRADER[[#This Row],[L_Bn]]*TabTRADER[[#This Row],[M]])</f>
        <v>-0.95589984994349719</v>
      </c>
      <c r="BB20" s="635">
        <f ca="1">IFERROR((TabTRADER[[#This Row],[M]]-TabTRADER[[#This Row],[A]])/TabTRADER[[#This Row],[A]],0)</f>
        <v>-0.16837620325074948</v>
      </c>
      <c r="BC20" s="638" t="str">
        <f ca="1">TEXT(_xlfn.XLOOKUP(TabTRADER[[#This Row],[ClickTick]],TabCalc[Ticker],TabCalc[NAfter]),"#,#0")&amp;" : "&amp;TEXT(_xlfn.XLOOKUP(TabTRADER[[#This Row],[ClickTick]],TabCalc[Ticker],TabCalc[NAfter])*(TabTRADER[[#This Row],[M]]-TabTRADER[[#This Row],[A]])*(1-Commission)*TabTRADER[[#This Row],[Scale]],"#,#0$")</f>
        <v>6,000 : -15,963$</v>
      </c>
      <c r="BD20" s="684">
        <f ca="1">_xlfn.XLOOKUP(TabTRADER[[#This Row],[ClickTick]],TabCalc[[#This Row],[Ticker]],TabCalc[[#This Row],[GL]])*(1-Commission)</f>
        <v>-48408.456917799966</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9.9051233396584407E-2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-5.2474918845856564E-3</v>
      </c>
      <c r="BO20" s="687">
        <f ca="1">(TabTRADER[[#This Row],[M]]-TabTRADER[[#This Row],[Agiotage]])/(TabTRADER[[#This Row],[M]]-TabTRADER[[#This Row],[A]])-1</f>
        <v>-5.7212673000958132</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+939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333,333</v>
      </c>
      <c r="F21" s="226" t="str">
        <f ca="1">TRUNC(TabCalc[[#This Row],[L_B1p]],2)&amp;"x"&amp;TabCalc[[#This Row],[L_B1n]]&amp;"=   "&amp;TEXT(TabCalc[[#This Row],[ReverseS1]],"#,#0")&amp;"$"</f>
        <v>-14.78x5000=   6,625$</v>
      </c>
      <c r="G21" s="225" t="str">
        <f ca="1">IFERROR(TRUNC(_xlfn.XLOOKUP(TabTRADER[[#This Row],[ClickTick]],TabCalc[Ticker],ListLastSalep),2)&amp;"x"&amp;_xlfn.XLOOKUP(TabTRADER[[#This Row],[ClickTick]],TabCalc[Ticker],ListLastSalen)&amp;"=   "&amp;TEXT(-_xlfn.XLOOKUP(TabTRADER[[#This Row],[ClickTick]],TabCalc[Ticker],ListReverseB),"#,#0")&amp;"$","")</f>
        <v>16.12x3200=   -48$</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333,333</v>
      </c>
      <c r="I21" s="226" t="str">
        <f ca="1">IFERROR(TRUNC(TabCalc[[#This Row],[L_S1p]],2)&amp;"x"&amp;TabCalc[[#This Row],[L_S1n]]&amp;"=   "&amp;TEXT(TabCalc[[#This Row],[ReverseB1]],"#,#0"),"")</f>
        <v>15.8x2500=   -762</v>
      </c>
      <c r="J21" s="295">
        <f ca="1">_xlfn.XLOOKUP(TabTRADER[[#This Row],[ClickTick]],TabCalc[Ticker],ListGravity)</f>
        <v>1.0505799441167338</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1.3773604663339033E-3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4.052369077306813E-3</v>
      </c>
      <c r="S21" s="683">
        <f ca="1">_xlfn.XLOOKUP(TabTRADER[[#This Row],[ClickTick]],TabCalc[Ticker],TabCalc[Rev(MinStock)])*(1-Commission)</f>
        <v>936.80795000001842</v>
      </c>
      <c r="T21" s="782">
        <f ca="1">_xlfn.XLOOKUP(TabTRADER[[#This Row],[ClickTick]],TabCalc[Ticker],TabCalc[Agiotage])</f>
        <v>1.3773604663339033E-3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21" s="739" t="str">
        <f ca="1">_xlfn.XLOOKUP(TabTRADER[[#This Row],[ClickTick]],[1]!RTData[Ticker_Symbol],[1]!RTData[Currency])</f>
        <v>EUR</v>
      </c>
      <c r="W21" s="749">
        <f ca="1">_xlfn.XLOOKUP(TabTRADER[[#This Row],[ClickTick]],TabCalc[Ticker],TabCalc[M])</f>
        <v>16.105</v>
      </c>
      <c r="X21" s="1343"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^1,168/242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1" s="1177" t="str" cm="1">
        <f t="array" aca="1" ref="AF21" ca="1">_xlfn.IFS(       TabTRADER[[#This Row],[Traps]]=RePurchaseGain,TEXT(TabTRADER[[#This Row],[L_Sn]],"#,#0")&amp;" x "&amp;TEXT(TabTRADER[[#This Row],[L_Sp]],"#,#0.#0"),     TabTRADER[[#This Row],[Traps]]=ReSaleGain,TEXT(TabTRADER[[#This Row],[L_Bn]],"#0,#0")&amp;" x "&amp;TEXT(TabTRADER[[#This Row],[L_Bp]],"#,#0.#0"),               TRUE,"")</f>
        <v>14,450 x -16.04</v>
      </c>
      <c r="AG21" s="1177"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936.80795000001842</v>
      </c>
      <c r="AH21" s="1177"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936.80795000001842</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4.052369077306813E-3</v>
      </c>
      <c r="AK21" s="1186"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0.72942643391522632</v>
      </c>
      <c r="AN21" s="1281">
        <f ca="1">_xlfn.XLOOKUP(TabTRADER[[#This Row],[ClickTick]],TabCalc[Ticker],TabCalc[Up20])</f>
        <v>0</v>
      </c>
      <c r="AO21" s="310"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25" t="str" cm="1">
        <f t="array" aca="1" ref="AP21" ca="1">_xlfn.IFS(         TabTRADER[[#This Row],[Traps]]=MDown,TabTRADER[[#This Row],[L_Bn]]*TabTRADER[[#This Row],[M]]*(-(TabTRADER[[#This Row],[L_Bp]]+TabTRADER[[#This Row],[M]])/TabTRADER[[#This Row],[M]])*(1-Commission)*TabTRADER[[#This Row],[Scale]],                               TRUE,"")</f>
        <v/>
      </c>
      <c r="AQ21" s="1186" t="str" cm="1">
        <f t="array" aca="1" ref="AQ21" ca="1">_xlfn.IFS(   TabTRADER[[#This Row],[Traps]]=MUp,TabTRADER[[#This Row],[TakeGain_A]]-Commission,        TabTRADER[[#This Row],[Traps]]=MDown,(TabTRADER[[#This Row],[A]]-TabTRADER[[#This Row],[M]])/TabTRADER[[#This Row],[M]]-Commission,                              TRUE,"")</f>
        <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1675.2301414298067</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1" s="765" t="str" cm="1">
        <f t="array" aca="1" ref="AU21" ca="1">_xlfn.IFS(TabTRADER[[#This Row],[Traps]]=ReSaleGain,"",         TabTRADER[[#This Row],[Traps]]=MDown, (TabTRADER[[#This Row],[M]]-TabTRADER[[#This Row],[A]])/TabTRADER[[#This Row],[A]]*ComFactor,             TRUE, IFERROR((TabTRADER[[#This Row],[M]]-TabTRADER[[#This Row],[A]])/TabTRADER[[#This Row],[A]]*ComFactor,""))</f>
        <v/>
      </c>
      <c r="AV21" s="762" cm="1">
        <f t="array" aca="1" ref="AV21" ca="1">_xlfn.IFS(               TabTRADER[[#This Row],[Traps]]=NoStock,(TabTRADER[[#This Row],[L_Sp]]-TabTRADER[[#This Row],[M]])/TabTRADER[[#This Row],[M]]-Commission,             TabTRADER[[#This Row],[A]]&lt;&gt;0,(TabTRADER[[#This Row],[A]]-TabTRADER[[#This Row],[M]])/TabTRADER[[#This Row],[M]]-Commission)</f>
        <v>-9.5046879850978067E-3</v>
      </c>
      <c r="AW21" s="324">
        <f ca="1">_xlfn.XLOOKUP(TabTRADER[[#This Row],[ClickTick]],TabCalc[Ticker],TabCalc[L_Sn])</f>
        <v>3200</v>
      </c>
      <c r="AX21" s="728">
        <f ca="1">_xlfn.XLOOKUP(TabTRADER[[#This Row],[ClickTick]],TabCalc[Ticker],TabCalc[L_Sp])</f>
        <v>16.12</v>
      </c>
      <c r="AY21" s="764">
        <f ca="1">-IFERROR((TabTRADER[[#This Row],[M]]-TabTRADER[[#This Row],[L_Sp]])/TabTRADER[[#This Row],[L_Sp]],0)</f>
        <v>9.3052109181144963E-4</v>
      </c>
      <c r="AZ21" s="729">
        <f ca="1">TabTRADER[[#This Row],[L_Sn]]*(TabTRADER[[#This Row],[M]]-TabTRADER[[#This Row],[L_Sp]])*(1-Commission)*TabTRADER[[#This Row],[Scale]]</f>
        <v>-47.875200000001811</v>
      </c>
      <c r="BA21" s="692">
        <f ca="1">TabTRADER[[#This Row],[L_Sn]]*(TabTRADER[[#This Row],[Agiotage]]-TabTRADER[[#This Row],[M]])/(TabTRADER[[#This Row],[L_Bn]]*TabTRADER[[#This Row],[M]])</f>
        <v>-0.22143434767516257</v>
      </c>
      <c r="BB21" s="635">
        <f ca="1">IFERROR((TabTRADER[[#This Row],[M]]-TabTRADER[[#This Row],[A]])/TabTRADER[[#This Row],[A]],0)</f>
        <v>6.9526941689904958E-3</v>
      </c>
      <c r="BC21" s="638" t="str">
        <f ca="1">TEXT(_xlfn.XLOOKUP(TabTRADER[[#This Row],[ClickTick]],TabCalc[Ticker],TabCalc[NAfter]),"#,#0")&amp;" : "&amp;TEXT(_xlfn.XLOOKUP(TabTRADER[[#This Row],[ClickTick]],TabCalc[Ticker],TabCalc[NAfter])*(TabTRADER[[#This Row],[M]]-TabTRADER[[#This Row],[A]])*(1-Commission)*TabTRADER[[#This Row],[Scale]],"#,#0$")</f>
        <v>15,000 : 1,664$</v>
      </c>
      <c r="BD21" s="684">
        <f ca="1">_xlfn.XLOOKUP(TabTRADER[[#This Row],[ClickTick]],TabCalc[[#This Row],[Ticker]],TabCalc[[#This Row],[GL]])*(1-Commission)</f>
        <v>1164547.7829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MAY</v>
      </c>
      <c r="BI21" s="909"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79">
        <f ca="1">TabTRADER[[#This Row],[L_Sn]]*TabTRADER[[#This Row],[L_Sp]]+TabTRADER[[#This Row],[SellMore]]*TabTRADER[[#This Row],[M]]</f>
        <v>284301.25</v>
      </c>
      <c r="BK21" s="679">
        <f ca="1">INDEX(
  INDEX(TabConsolid[], , _xlfn.XMATCH(TabTRADER[[#This Row],[ClickTick]]&amp;1, TabConsolid[#Headers])),
  MATCH(
    -TabTRADER[[#This Row],[M]],
    INDEX(TabConsolid[], , _xlfn.XMATCH(TabTRADER[[#This Row],[ClickTick]]&amp;2, TabConsolid[#Headers])),
    -1
  )
)</f>
        <v>14450</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14450</v>
      </c>
      <c r="BM21" s="1156">
        <f ca="1">TabTRADER[[#This Row],[ReBuy]]/(TabTRADER[[#This Row],[L_Sn]]+TabTRADER[[#This Row],[SellMore]])</f>
        <v>16.10771954674221</v>
      </c>
      <c r="BN21" s="687">
        <f ca="1">((_xlfn.XLOOKUP(TabTRADER[[#This Row],[ClickTick]],TabCalc[Ticker],TabCalc[NAfter])+TabTRADER[[#This Row],[L_Sn]])*(TabTRADER[[#This Row],[Agiotage]]-TabTRADER[[#This Row],[M]]))/(TabTRADER[[#This Row],[L_Sn]]*_xlfn.XLOOKUP(TabTRADER[[#This Row],[ClickTick]],TabCalc[Ticker],TabCalc[NAfter]))</f>
        <v>-6.1059569174898472E-3</v>
      </c>
      <c r="BO21" s="687">
        <f ca="1">(TabTRADER[[#This Row],[M]]-TabTRADER[[#This Row],[Agiotage]])/(TabTRADER[[#This Row],[M]]-TabTRADER[[#This Row],[A]])-1</f>
        <v>143.81675035551834</v>
      </c>
      <c r="BP21" s="1277">
        <f ca="1">_xlfn.XMATCH(TabTRADER[[#This Row],[ClickTick]]&amp;1, TabConsolid[#Headers])</f>
        <v>56</v>
      </c>
      <c r="BQ21" t="b">
        <f ca="1">IF(ABS(TabTRADER[[#This Row],[L_Bp]])&gt;=TabTRADER[[#This Row],[M]],"OK")</f>
        <v>0</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43"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-1.1272637308263236</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+240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33.9%</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271$</v>
      </c>
      <c r="G23" s="225" t="str">
        <f ca="1">IFERROR(TRUNC(_xlfn.XLOOKUP(TabTRADER[[#This Row],[ClickTick]],TabCalc[Ticker],ListLastSalep),2)&amp;"x"&amp;_xlfn.XLOOKUP(TabTRADER[[#This Row],[ClickTick]],TabCalc[Ticker],ListLastSalen)&amp;"=   "&amp;TEXT(-_xlfn.XLOOKUP(TabTRADER[[#This Row],[ClickTick]],TabCalc[Ticker],ListReverseB),"#,#0")&amp;"$","")</f>
        <v>47.63x990=   22,797$</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-32.6% = 0</v>
      </c>
      <c r="I23" s="226" t="str">
        <f ca="1">IFERROR(TRUNC(TabCalc[[#This Row],[L_S1p]],2)&amp;"x"&amp;TabCalc[[#This Row],[L_S1n]]&amp;"=   "&amp;TEXT(TabCalc[[#This Row],[ReverseB1]],"#,#0"),"")</f>
        <v>46.95x990=   -23,473</v>
      </c>
      <c r="J23" s="295">
        <f ca="1">_xlfn.XLOOKUP(TabTRADER[[#This Row],[ClickTick]],TabCalc[Ticker],ListGravity)</f>
        <v>1.0352936597792246</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0.5369764209337996</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0.51384008912503198</v>
      </c>
      <c r="S23" s="683">
        <f ca="1">_xlfn.XLOOKUP(TabTRADER[[#This Row],[ClickTick]],TabCalc[Ticker],TabCalc[Rev(MinStock)])*(1-Commission)</f>
        <v>239.21641599999992</v>
      </c>
      <c r="T23" s="782">
        <f ca="1">_xlfn.XLOOKUP(TabTRADER[[#This Row],[ClickTick]],TabCalc[Ticker],TabCalc[Agiotage])</f>
        <v>0.5369764209337996</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17/17=&gt;2.6% / 2.6%</v>
      </c>
      <c r="V23" s="739" t="str">
        <f ca="1">_xlfn.XLOOKUP(TabTRADER[[#This Row],[ClickTick]],[1]!RTData[Ticker_Symbol],[1]!RTData[Currency])</f>
        <v>USD</v>
      </c>
      <c r="W23" s="749">
        <f ca="1">_xlfn.XLOOKUP(TabTRADER[[#This Row],[ClickTick]],TabCalc[Ticker],TabCalc[M])</f>
        <v>70.66</v>
      </c>
      <c r="X23" s="1343"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229.67129799999992</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239.21641599999992</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0.51384008912503198</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0.32328451740730252</v>
      </c>
      <c r="AL23" s="825" cm="1">
        <f t="array" aca="1" ref="AL23" ca="1">_xlfn.IFS(   TabTRADER[[#This Row],[Traps]]=SellMorePercentGain,                     MIN(TabTRADER[[#This Row],[L_Sn]],TabTRADER[[#This Row],[N]])*(TabTRADER[[#This Row],[M]]-TabTRADER[[#This Row],[L_Sp]])*(1-Commission)*TabTRADER[[#This Row],[Scale]],                    TRUE,"")</f>
        <v>229.67129799999992</v>
      </c>
      <c r="AM23" s="1175">
        <f ca="1">_xlfn.XLOOKUP(TabTRADER[[#This Row],[ClickTick]],TabCalc[Ticker],TabCalc[Ann%RevLB])</f>
        <v>0.40477556254925934</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0.51124008912503194</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362.13540051761055</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10x23.98</v>
      </c>
      <c r="AU23" s="765" cm="1">
        <f t="array" aca="1" ref="AU23" ca="1">_xlfn.IFS(TabTRADER[[#This Row],[Traps]]=ReSaleGain,"",         TabTRADER[[#This Row],[Traps]]=MDown, (TabTRADER[[#This Row],[M]]-TabTRADER[[#This Row],[A]])/TabTRADER[[#This Row],[A]]*ComFactor,             TRUE, IFERROR((TabTRADER[[#This Row],[M]]-TabTRADER[[#This Row],[A]])/TabTRADER[[#This Row],[A]]*ComFactor,""))</f>
        <v>0.51250410489330689</v>
      </c>
      <c r="AV23" s="762" cm="1">
        <f t="array" aca="1" ref="AV23" ca="1">_xlfn.IFS(               TabTRADER[[#This Row],[Traps]]=NoStock,(TabTRADER[[#This Row],[L_Sp]]-TabTRADER[[#This Row],[M]])/TabTRADER[[#This Row],[M]]-Commission,             TabTRADER[[#This Row],[A]]&lt;&gt;0,(TabTRADER[[#This Row],[A]]-TabTRADER[[#This Row],[M]])/TabTRADER[[#This Row],[M]]-Commission)</f>
        <v>-0.34202824794791953</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-0.48342535637058326</v>
      </c>
      <c r="AZ23" s="729">
        <f ca="1">TabTRADER[[#This Row],[L_Sn]]*(TabTRADER[[#This Row],[M]]-TabTRADER[[#This Row],[L_Sp]])*(1-Commission)*TabTRADER[[#This Row],[Scale]]</f>
        <v>22737.45850199999</v>
      </c>
      <c r="BA23" s="692">
        <f ca="1">TabTRADER[[#This Row],[L_Sn]]*(TabTRADER[[#This Row],[Agiotage]]-TabTRADER[[#This Row],[M]])/(TabTRADER[[#This Row],[L_Bn]]*TabTRADER[[#This Row],[M]])</f>
        <v>-0.99240056013396838</v>
      </c>
      <c r="BB23" s="635">
        <f ca="1">IFERROR((TabTRADER[[#This Row],[M]]-TabTRADER[[#This Row],[A]])/TabTRADER[[#This Row],[A]],0)</f>
        <v>0.51384008912503198</v>
      </c>
      <c r="BC23" s="638" t="str">
        <f ca="1">TEXT(_xlfn.XLOOKUP(TabTRADER[[#This Row],[ClickTick]],TabCalc[Ticker],TabCalc[NAfter]),"#,#0")&amp;" : "&amp;TEXT(_xlfn.XLOOKUP(TabTRADER[[#This Row],[ClickTick]],TabCalc[Ticker],TabCalc[NAfter])*(TabTRADER[[#This Row],[M]]-TabTRADER[[#This Row],[A]])*(1-Commission)*TabTRADER[[#This Row],[Scale]],"#,#0$")</f>
        <v>10 : 239$</v>
      </c>
      <c r="BD23" s="684">
        <f ca="1">_xlfn.XLOOKUP(TabTRADER[[#This Row],[ClickTick]],TabCalc[[#This Row],[Ticker]],TabCalc[[#This Row],[GL]])*(1-Commission)</f>
        <v>14377.052222</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0.32588451740730251</v>
      </c>
      <c r="BJ23" s="679">
        <f ca="1">TabTRADER[[#This Row],[L_Sn]]*TabTRADER[[#This Row],[L_Sp]]+TabTRADER[[#This Row],[SellMore]]*TabTRADER[[#This Row],[M]]</f>
        <v>47863.270000000004</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47.863270000000007</v>
      </c>
      <c r="BN23" s="687">
        <f ca="1">((_xlfn.XLOOKUP(TabTRADER[[#This Row],[ClickTick]],TabCalc[Ticker],TabCalc[NAfter])+TabTRADER[[#This Row],[L_Sn]])*(TabTRADER[[#This Row],[Agiotage]]-TabTRADER[[#This Row],[M]]))/(TabTRADER[[#This Row],[L_Sn]]*_xlfn.XLOOKUP(TabTRADER[[#This Row],[ClickTick]],TabCalc[Ticker],TabCalc[NAfter]))</f>
        <v>-7.0831336948551717</v>
      </c>
      <c r="BO23" s="687">
        <f ca="1">(TabTRADER[[#This Row],[M]]-TabTRADER[[#This Row],[Agiotage]])/(TabTRADER[[#This Row],[M]]-TabTRADER[[#This Row],[A]])-1</f>
        <v>1.9237418103346489</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+1,386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24" s="226" t="str">
        <f ca="1">TRUNC(TabCalc[[#This Row],[L_B1p]],2)&amp;"x"&amp;TabCalc[[#This Row],[L_B1n]]&amp;"=   "&amp;TEXT(TabCalc[[#This Row],[ReverseS1]],"#,#0")&amp;"$"</f>
        <v>-24.92x1200=   -1,824$</v>
      </c>
      <c r="G24" s="225" t="str">
        <f ca="1">IFERROR(TRUNC(_xlfn.XLOOKUP(TabTRADER[[#This Row],[ClickTick]],TabCalc[Ticker],ListLastSalep),2)&amp;"x"&amp;_xlfn.XLOOKUP(TabTRADER[[#This Row],[ClickTick]],TabCalc[Ticker],ListLastSalen)&amp;"=   "&amp;TEXT(-_xlfn.XLOOKUP(TabTRADER[[#This Row],[ClickTick]],TabCalc[Ticker],ListReverseB),"#,#0")&amp;"$","")</f>
        <v>24.12x1800=   -1,296$</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6,944</v>
      </c>
      <c r="I24" s="226" t="str">
        <f ca="1">IFERROR(TRUNC(TabCalc[[#This Row],[L_S1p]],2)&amp;"x"&amp;TabCalc[[#This Row],[L_S1n]]&amp;"=   "&amp;TEXT(TabCalc[[#This Row],[ReverseB1]],"#,#0"),"")</f>
        <v>26.07x1200=   3,204</v>
      </c>
      <c r="J24" s="295">
        <f ca="1">_xlfn.XLOOKUP(TabTRADER[[#This Row],[ClickTick]],TabCalc[Ticker],ListGravity)</f>
        <v>1.1329961538461539</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0.50246663956149196</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3.402562969509499E-2</v>
      </c>
      <c r="S24" s="683">
        <f ca="1">_xlfn.XLOOKUP(TabTRADER[[#This Row],[ClickTick]],TabCalc[Ticker],TabCalc[Rev(MinStock)])*(1-Commission)</f>
        <v>1382.3963999999992</v>
      </c>
      <c r="T24" s="782">
        <f ca="1">_xlfn.XLOOKUP(TabTRADER[[#This Row],[ClickTick]],TabCalc[Ticker],TabCalc[Agiotage])</f>
        <v>0.50246663956149196</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1,196/1,196=&gt;0.0% / 0.0%</v>
      </c>
      <c r="V24" s="739" t="str">
        <f ca="1">_xlfn.XLOOKUP(TabTRADER[[#This Row],[ClickTick]],[1]!RTData[Ticker_Symbol],[1]!RTData[Currency])</f>
        <v>USD</v>
      </c>
      <c r="W24" s="749">
        <f ca="1">_xlfn.XLOOKUP(TabTRADER[[#This Row],[ClickTick]],TabCalc[Ticker],TabCalc[M])</f>
        <v>23.4</v>
      </c>
      <c r="X24" s="1343"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^179/215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1292.6304000000043</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1292.6304000000043</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2.9850746268656816E-2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0.68051259390189978</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27656.074763199984</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0.14745830242383334</v>
      </c>
      <c r="AV24" s="762" cm="1">
        <f t="array" aca="1" ref="AV24" ca="1">_xlfn.IFS(               TabTRADER[[#This Row],[Traps]]=NoStock,(TabTRADER[[#This Row],[L_Sp]]-TabTRADER[[#This Row],[M]])/TabTRADER[[#This Row],[M]]-Commission,             TabTRADER[[#This Row],[A]]&lt;&gt;0,(TabTRADER[[#This Row],[A]]-TabTRADER[[#This Row],[M]])/TabTRADER[[#This Row],[M]]-Commission)</f>
        <v>-0.13140048309178737</v>
      </c>
      <c r="AW24" s="324">
        <f ca="1">_xlfn.XLOOKUP(TabTRADER[[#This Row],[ClickTick]],TabCalc[Ticker],TabCalc[L_Sn])</f>
        <v>1800</v>
      </c>
      <c r="AX24" s="728">
        <f ca="1">_xlfn.XLOOKUP(TabTRADER[[#This Row],[ClickTick]],TabCalc[Ticker],TabCalc[L_Sp])</f>
        <v>24.12</v>
      </c>
      <c r="AY24" s="764">
        <f ca="1">-IFERROR((TabTRADER[[#This Row],[M]]-TabTRADER[[#This Row],[L_Sp]])/TabTRADER[[#This Row],[L_Sp]],0)</f>
        <v>2.9850746268656816E-2</v>
      </c>
      <c r="AZ24" s="729">
        <f ca="1">TabTRADER[[#This Row],[L_Sn]]*(TabTRADER[[#This Row],[M]]-TabTRADER[[#This Row],[L_Sp]])*(1-Commission)*TabTRADER[[#This Row],[Scale]]</f>
        <v>-1292.6304000000043</v>
      </c>
      <c r="BA24" s="692">
        <f ca="1">TabTRADER[[#This Row],[L_Sn]]*(TabTRADER[[#This Row],[Agiotage]]-TabTRADER[[#This Row],[M]])/(TabTRADER[[#This Row],[L_Bn]]*TabTRADER[[#This Row],[M]])</f>
        <v>-0.97852706668540623</v>
      </c>
      <c r="BB24" s="635">
        <f ca="1">IFERROR((TabTRADER[[#This Row],[M]]-TabTRADER[[#This Row],[A]])/TabTRADER[[#This Row],[A]],0)</f>
        <v>0.14784269342674289</v>
      </c>
      <c r="BC24" s="638" t="str">
        <f ca="1">TEXT(_xlfn.XLOOKUP(TabTRADER[[#This Row],[ClickTick]],TabCalc[Ticker],TabCalc[NAfter]),"#,#0")&amp;" : "&amp;TEXT(_xlfn.XLOOKUP(TabTRADER[[#This Row],[ClickTick]],TabCalc[Ticker],TabCalc[NAfter])*(TabTRADER[[#This Row],[M]]-TabTRADER[[#This Row],[A]])*(1-Commission)*TabTRADER[[#This Row],[Scale]],"#,#0$")</f>
        <v>9,200 : 27,656$</v>
      </c>
      <c r="BD24" s="684">
        <f ca="1">_xlfn.XLOOKUP(TabTRADER[[#This Row],[ClickTick]],TabCalc[[#This Row],[Ticker]],TabCalc[[#This Row],[GL]])*(1-Commission)</f>
        <v>178524.62599999999</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85536</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23.76</v>
      </c>
      <c r="BN24" s="687">
        <f ca="1">((_xlfn.XLOOKUP(TabTRADER[[#This Row],[ClickTick]],TabCalc[Ticker],TabCalc[NAfter])+TabTRADER[[#This Row],[L_Sn]])*(TabTRADER[[#This Row],[Agiotage]]-TabTRADER[[#This Row],[M]]))/(TabTRADER[[#This Row],[L_Sn]]*_xlfn.XLOOKUP(TabTRADER[[#This Row],[ClickTick]],TabCalc[Ticker],TabCalc[NAfter]))</f>
        <v>-1.5209714188697075E-2</v>
      </c>
      <c r="BO24" s="687">
        <f ca="1">(TabTRADER[[#This Row],[M]]-TabTRADER[[#This Row],[Agiotage]])/(TabTRADER[[#This Row],[M]]-TabTRADER[[#This Row],[A]])-1</f>
        <v>6.5972313394824482</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-1,315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1,835</v>
      </c>
      <c r="F25" s="226" t="str">
        <f ca="1">TRUNC(TabCalc[[#This Row],[L_B1p]],2)&amp;"x"&amp;TabCalc[[#This Row],[L_B1n]]&amp;"=   "&amp;TEXT(TabCalc[[#This Row],[ReverseS1]],"#,#0")&amp;"$"</f>
        <v>-25.74x4000=   1,900$</v>
      </c>
      <c r="G25" s="225" t="str">
        <f ca="1">IFERROR(TRUNC(_xlfn.XLOOKUP(TabTRADER[[#This Row],[ClickTick]],TabCalc[Ticker],ListLastSalep),2)&amp;"x"&amp;_xlfn.XLOOKUP(TabTRADER[[#This Row],[ClickTick]],TabCalc[Ticker],ListLastSalen)&amp;"=   "&amp;TEXT(-_xlfn.XLOOKUP(TabTRADER[[#This Row],[ClickTick]],TabCalc[Ticker],ListReverseB),"#,#0")&amp;"$","")</f>
        <v>28.94x1000=   -2,725$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1,835</v>
      </c>
      <c r="I25" s="226" t="str">
        <f ca="1">IFERROR(TRUNC(TabCalc[[#This Row],[L_S1p]],2)&amp;"x"&amp;TabCalc[[#This Row],[L_S1n]]&amp;"=   "&amp;TEXT(TabCalc[[#This Row],[ReverseB1]],"#,#0"),"")</f>
        <v>27.08x4000=   3,460</v>
      </c>
      <c r="J25" s="295">
        <f ca="1">_xlfn.XLOOKUP(TabTRADER[[#This Row],[ClickTick]],TabCalc[Ticker],ListGravity)</f>
        <v>1.0788670608430289</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104860</v>
      </c>
      <c r="M25" s="323">
        <f ca="1">_xlfn.XLOOKUP(TabTRADER[[#This Row],[ClickTick]],TabCalc[Ticker],TabCalc[Agiotage])</f>
        <v>0.50945639164193712</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-4.7766073374500589E-2</v>
      </c>
      <c r="S25" s="683">
        <f ca="1">_xlfn.XLOOKUP(TabTRADER[[#This Row],[ClickTick]],TabCalc[Ticker],TabCalc[Rev(MinStock)])*(1-Commission)</f>
        <v>-1311.5810000000013</v>
      </c>
      <c r="T25" s="782">
        <f ca="1">_xlfn.XLOOKUP(TabTRADER[[#This Row],[ClickTick]],TabCalc[Ticker],TabCalc[Agiotage])</f>
        <v>0.50945639164193712</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925/925=&gt;0.2% / 0.2%</v>
      </c>
      <c r="V25" s="739" t="str">
        <f ca="1">_xlfn.XLOOKUP(TabTRADER[[#This Row],[ClickTick]],[1]!RTData[Ticker_Symbol],[1]!RTData[Currency])</f>
        <v>USD</v>
      </c>
      <c r="W25" s="749">
        <f ca="1">_xlfn.XLOOKUP(TabTRADER[[#This Row],[ClickTick]],TabCalc[Ticker],TabCalc[M])</f>
        <v>26.215</v>
      </c>
      <c r="X25" s="1343"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^47/131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1311.5810000000013</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131075</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-4.483102153421752E-3</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4.7562120923135658E-2</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-0.78162665521910057</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5.0162120923135656E-2</v>
      </c>
      <c r="AP25" s="825" cm="1">
        <f t="array" aca="1" ref="AP25" ca="1">_xlfn.IFS(         TabTRADER[[#This Row],[Traps]]=MDown,TabTRADER[[#This Row],[L_Bn]]*TabTRADER[[#This Row],[M]]*(-(TabTRADER[[#This Row],[L_Bp]]+TabTRADER[[#This Row],[M]])/TabTRADER[[#This Row],[M]])*(1-Commission)*TabTRADER[[#This Row],[Scale]],                               TRUE,"")</f>
        <v>1311.581000000001</v>
      </c>
      <c r="AQ25" s="1186" cm="1">
        <f t="array" aca="1" ref="AQ25" ca="1">_xlfn.IFS(   TabTRADER[[#This Row],[Traps]]=MUp,TabTRADER[[#This Row],[TakeGain_A]]-Commission,        TabTRADER[[#This Row],[Traps]]=MDown,(TabTRADER[[#This Row],[A]]-TabTRADER[[#This Row],[M]])/TabTRADER[[#This Row],[M]]-Commission,                              TRUE,"")</f>
        <v>-7.0630936486744565E-3</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-583.47900000000436</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-2.1%</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25" s="765" cm="1">
        <f t="array" aca="1" ref="AU25" ca="1">_xlfn.IFS(TabTRADER[[#This Row],[Traps]]=ReSaleGain,"",         TabTRADER[[#This Row],[Traps]]=MDown, (TabTRADER[[#This Row],[M]]-TabTRADER[[#This Row],[A]])/TabTRADER[[#This Row],[A]]*ComFactor,             TRUE, IFERROR((TabTRADER[[#This Row],[M]]-TabTRADER[[#This Row],[A]])/TabTRADER[[#This Row],[A]]*ComFactor,""))</f>
        <v>4.4714460878228553E-3</v>
      </c>
      <c r="AV25" s="762" cm="1">
        <f t="array" aca="1" ref="AV25" ca="1">_xlfn.IFS(               TabTRADER[[#This Row],[Traps]]=NoStock,(TabTRADER[[#This Row],[L_Sp]]-TabTRADER[[#This Row],[M]])/TabTRADER[[#This Row],[M]]-Commission,             TabTRADER[[#This Row],[A]]&lt;&gt;0,(TabTRADER[[#This Row],[A]]-TabTRADER[[#This Row],[M]])/TabTRADER[[#This Row],[M]]-Commission)</f>
        <v>-7.0630936486744565E-3</v>
      </c>
      <c r="AW25" s="324">
        <f ca="1">_xlfn.XLOOKUP(TabTRADER[[#This Row],[ClickTick]],TabCalc[Ticker],TabCalc[L_Sn])</f>
        <v>1000</v>
      </c>
      <c r="AX25" s="728">
        <f ca="1">_xlfn.XLOOKUP(TabTRADER[[#This Row],[ClickTick]],TabCalc[Ticker],TabCalc[L_Sp])</f>
        <v>28.94</v>
      </c>
      <c r="AY25" s="764">
        <f ca="1">-IFERROR((TabTRADER[[#This Row],[M]]-TabTRADER[[#This Row],[L_Sp]])/TabTRADER[[#This Row],[L_Sp]],0)</f>
        <v>9.416033172080171E-2</v>
      </c>
      <c r="AZ25" s="729">
        <f ca="1">TabTRADER[[#This Row],[L_Sn]]*(TabTRADER[[#This Row],[M]]-TabTRADER[[#This Row],[L_Sp]])*(1-Commission)*TabTRADER[[#This Row],[Scale]]</f>
        <v>-2717.9150000000013</v>
      </c>
      <c r="BA25" s="692">
        <f ca="1">TabTRADER[[#This Row],[L_Sn]]*(TabTRADER[[#This Row],[Agiotage]]-TabTRADER[[#This Row],[M]])/(TabTRADER[[#This Row],[L_Bn]]*TabTRADER[[#This Row],[M]])</f>
        <v>-0.98056622576227592</v>
      </c>
      <c r="BB25" s="635">
        <f ca="1">IFERROR((TabTRADER[[#This Row],[M]]-TabTRADER[[#This Row],[A]])/TabTRADER[[#This Row],[A]],0)</f>
        <v>4.483102153421752E-3</v>
      </c>
      <c r="BC25" s="638" t="str">
        <f ca="1">TEXT(_xlfn.XLOOKUP(TabTRADER[[#This Row],[ClickTick]],TabCalc[Ticker],TabCalc[NAfter]),"#,#0")&amp;" : "&amp;TEXT(_xlfn.XLOOKUP(TabTRADER[[#This Row],[ClickTick]],TabCalc[Ticker],TabCalc[NAfter])*(TabTRADER[[#This Row],[M]]-TabTRADER[[#This Row],[A]])*(1-Commission)*TabTRADER[[#This Row],[Scale]],"#,#0$")</f>
        <v>5,000 : 583$</v>
      </c>
      <c r="BD25" s="684">
        <f ca="1">_xlfn.XLOOKUP(TabTRADER[[#This Row],[ClickTick]],TabCalc[[#This Row],[Ticker]],TabCalc[[#This Row],[GL]])*(1-Commission)</f>
        <v>46996.69805920004</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MAY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5.0162120923135656E-2</v>
      </c>
      <c r="BJ25" s="679">
        <f ca="1">TabTRADER[[#This Row],[L_Sn]]*TabTRADER[[#This Row],[L_Sp]]+TabTRADER[[#This Row],[SellMore]]*TabTRADER[[#This Row],[M]]</f>
        <v>133800</v>
      </c>
      <c r="BK25" s="679">
        <f ca="1">INDEX(
  INDEX(TabConsolid[], , _xlfn.XMATCH(TabTRADER[[#This Row],[ClickTick]]&amp;1, TabConsolid[#Headers])),
  MATCH(
    -TabTRADER[[#This Row],[M]],
    INDEX(TabConsolid[], , _xlfn.XMATCH(TabTRADER[[#This Row],[ClickTick]]&amp;2, TabConsolid[#Headers])),
    -1
  )
)</f>
        <v>4000</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156">
        <f ca="1">TabTRADER[[#This Row],[ReBuy]]/(TabTRADER[[#This Row],[L_Sn]]+TabTRADER[[#This Row],[SellMore]])</f>
        <v>26.76</v>
      </c>
      <c r="BN25" s="687">
        <f ca="1">((_xlfn.XLOOKUP(TabTRADER[[#This Row],[ClickTick]],TabCalc[Ticker],TabCalc[NAfter])+TabTRADER[[#This Row],[L_Sn]])*(TabTRADER[[#This Row],[Agiotage]]-TabTRADER[[#This Row],[M]]))/(TabTRADER[[#This Row],[L_Sn]]*_xlfn.XLOOKUP(TabTRADER[[#This Row],[ClickTick]],TabCalc[Ticker],TabCalc[NAfter]))</f>
        <v>-3.0846652330029676E-2</v>
      </c>
      <c r="BO25" s="687">
        <f ca="1">(TabTRADER[[#This Row],[M]]-TabTRADER[[#This Row],[Agiotage]])/(TabTRADER[[#This Row],[M]]-TabTRADER[[#This Row],[A]])-1</f>
        <v>218.70550092613564</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+23,438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4,267/110,000=15,624</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36,206</v>
      </c>
      <c r="F26" s="226" t="str">
        <f ca="1">TRUNC(TabCalc[[#This Row],[L_B1p]],2)&amp;"x"&amp;TabCalc[[#This Row],[L_B1n]]&amp;"=   "&amp;TEXT(TabCalc[[#This Row],[ReverseS1]],"#,#0")&amp;"$"</f>
        <v>-284.47x20000=   16,344$</v>
      </c>
      <c r="G26" s="225" t="str">
        <f ca="1">IFERROR(TRUNC(_xlfn.XLOOKUP(TabTRADER[[#This Row],[ClickTick]],TabCalc[Ticker],ListLastSalep),2)&amp;"x"&amp;_xlfn.XLOOKUP(TabTRADER[[#This Row],[ClickTick]],TabCalc[Ticker],ListLastSalen)&amp;"=   "&amp;TEXT(-_xlfn.XLOOKUP(TabTRADER[[#This Row],[ClickTick]],TabCalc[Ticker],ListReverseB),"#,#0")&amp;"$","")</f>
        <v>380.01x20000=   -2,762$</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362</v>
      </c>
      <c r="I26" s="226" t="str">
        <f ca="1">IFERROR(TRUNC(TabCalc[[#This Row],[L_S1p]],2)&amp;"x"&amp;TabCalc[[#This Row],[L_S1n]]&amp;"=   "&amp;TEXT(TabCalc[[#This Row],[ReverseB1]],"#,#0"),"")</f>
        <v>425.1x20000=   11,780</v>
      </c>
      <c r="J26" s="295">
        <f ca="1">_xlfn.XLOOKUP(TabTRADER[[#This Row],[ClickTick]],TabCalc[Ticker],ListGravity)</f>
        <v>1.2673244128891317</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3.8509130711539581</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0.47061185806306516</v>
      </c>
      <c r="S26" s="683">
        <f ca="1">_xlfn.XLOOKUP(TabTRADER[[#This Row],[ClickTick]],TabCalc[Ticker],TabCalc[Rev(MinStock)])*(1-Commission)</f>
        <v>23376.662239999994</v>
      </c>
      <c r="T26" s="782">
        <f ca="1">_xlfn.XLOOKUP(TabTRADER[[#This Row],[ClickTick]],TabCalc[Ticker],TabCalc[Agiotage])</f>
        <v>3.8509130711539581</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-23,980/-23,980=&gt;-11.6% / -11.6%</v>
      </c>
      <c r="V26" s="739" t="str">
        <f ca="1">_xlfn.XLOOKUP(TabTRADER[[#This Row],[ClickTick]],[1]!RTData[Ticker_Symbol],[1]!RTData[Currency])</f>
        <v>GBp</v>
      </c>
      <c r="W26" s="749">
        <f ca="1">_xlfn.XLOOKUP(TabTRADER[[#This Row],[ClickTick]],TabCalc[Ticker],TabCalc[M])</f>
        <v>366.2</v>
      </c>
      <c r="X26" s="1343"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250.59844615384614</v>
      </c>
      <c r="AB26" s="817" cm="1">
        <f t="array" aca="1" ref="AB26" ca="1">_xlfn.XLOOKUP(TabTRADER[[#This Row],[ClickTick]],ListTickers,Tab1ChangePercent[Change%19])</f>
        <v>-0.115673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^1,132/403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177" t="str" cm="1">
        <f t="array" aca="1" ref="AF26" ca="1">_xlfn.IFS(       TabTRADER[[#This Row],[Traps]]=RePurchaseGain,TEXT(TabTRADER[[#This Row],[L_Sn]],"#,#0")&amp;" x "&amp;TEXT(TabTRADER[[#This Row],[L_Sp]],"#,#0.#0"),     TabTRADER[[#This Row],[Traps]]=ReSaleGain,TEXT(TabTRADER[[#This Row],[L_Bn]],"#0,#0")&amp;" x "&amp;TEXT(TabTRADER[[#This Row],[L_Bp]],"#,#0.#0"),               TRUE,"")</f>
        <v>20,000 x 380.01</v>
      </c>
      <c r="AG26" s="1177"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2754.8188000000005</v>
      </c>
      <c r="AH26" s="1177"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2754.8188000000005</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3.6341148917133768E-2</v>
      </c>
      <c r="AK26" s="1186"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2">
        <f ca="1">_xlfn.XLOOKUP(TabTRADER[[#This Row],[ClickTick]],TabCalc[Ticker],TabCalc[Ann%RevLB])</f>
        <v>0.7700921313759248</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126831.08878676924</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Row],[Traps]]=ReSaleGain,"",         TabTRADER[[#This Row],[Traps]]=MDown, (TabTRADER[[#This Row],[M]]-TabTRADER[[#This Row],[A]])/TabTRADER[[#This Row],[A]]*ComFactor,             TRUE, IFERROR((TabTRADER[[#This Row],[M]]-TabTRADER[[#This Row],[A]])/TabTRADER[[#This Row],[A]]*ComFactor,""))</f>
        <v>0.460102572764433</v>
      </c>
      <c r="AV26" s="762" cm="1">
        <f t="array" aca="1" ref="AV26" ca="1">_xlfn.IFS(               TabTRADER[[#This Row],[Traps]]=NoStock,(TabTRADER[[#This Row],[L_Sp]]-TabTRADER[[#This Row],[M]])/TabTRADER[[#This Row],[M]]-Commission,             TabTRADER[[#This Row],[A]]&lt;&gt;0,(TabTRADER[[#This Row],[A]]-TabTRADER[[#This Row],[M]])/TabTRADER[[#This Row],[M]]-Commission)</f>
        <v>-0.31827873797420492</v>
      </c>
      <c r="AW26" s="324">
        <f ca="1">_xlfn.XLOOKUP(TabTRADER[[#This Row],[ClickTick]],TabCalc[Ticker],TabCalc[L_Sn])</f>
        <v>20000</v>
      </c>
      <c r="AX26" s="728">
        <f ca="1">_xlfn.XLOOKUP(TabTRADER[[#This Row],[ClickTick]],TabCalc[Ticker],TabCalc[L_Sp])</f>
        <v>380.01</v>
      </c>
      <c r="AY26" s="764">
        <f ca="1">-IFERROR((TabTRADER[[#This Row],[M]]-TabTRADER[[#This Row],[L_Sp]])/TabTRADER[[#This Row],[L_Sp]],0)</f>
        <v>3.6341148917133768E-2</v>
      </c>
      <c r="AZ26" s="729">
        <f ca="1">TabTRADER[[#This Row],[L_Sn]]*(TabTRADER[[#This Row],[M]]-TabTRADER[[#This Row],[L_Sp]])*(1-Commission)*TabTRADER[[#This Row],[Scale]]</f>
        <v>-2754.8188000000005</v>
      </c>
      <c r="BA26" s="692">
        <f ca="1">TabTRADER[[#This Row],[L_Sn]]*(TabTRADER[[#This Row],[Agiotage]]-TabTRADER[[#This Row],[M]])/(TabTRADER[[#This Row],[L_Bn]]*TabTRADER[[#This Row],[M]])</f>
        <v>-0.98948412596626445</v>
      </c>
      <c r="BB26" s="635">
        <f ca="1">IFERROR((TabTRADER[[#This Row],[M]]-TabTRADER[[#This Row],[A]])/TabTRADER[[#This Row],[A]],0)</f>
        <v>0.46130195785485567</v>
      </c>
      <c r="BC26" s="638" t="str">
        <f ca="1">TEXT(_xlfn.XLOOKUP(TabTRADER[[#This Row],[ClickTick]],TabCalc[Ticker],TabCalc[NAfter]),"#,#0")&amp;" : "&amp;TEXT(_xlfn.XLOOKUP(TabTRADER[[#This Row],[ClickTick]],TabCalc[Ticker],TabCalc[NAfter])*(TabTRADER[[#This Row],[M]]-TabTRADER[[#This Row],[A]])*(1-Commission)*TabTRADER[[#This Row],[Scale]],"#,#0$")</f>
        <v>110,000 : 126,831$</v>
      </c>
      <c r="BD26" s="684">
        <f ca="1">_xlfn.XLOOKUP(TabTRADER[[#This Row],[ClickTick]],TabCalc[[#This Row],[Ticker]],TabCalc[[#This Row],[GL]])*(1-Commission)</f>
        <v>1129356.6853655402</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9"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11262200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375.40666666666669</v>
      </c>
      <c r="BN26" s="687">
        <f ca="1">((_xlfn.XLOOKUP(TabTRADER[[#This Row],[ClickTick]],TabCalc[Ticker],TabCalc[NAfter])+TabTRADER[[#This Row],[L_Sn]])*(TabTRADER[[#This Row],[Agiotage]]-TabTRADER[[#This Row],[M]]))/(TabTRADER[[#This Row],[L_Sn]]*_xlfn.XLOOKUP(TabTRADER[[#This Row],[ClickTick]],TabCalc[Ticker],TabCalc[NAfter]))</f>
        <v>-2.1411536954886356E-2</v>
      </c>
      <c r="BO26" s="687">
        <f ca="1">(TabTRADER[[#This Row],[M]]-TabTRADER[[#This Row],[Agiotage]])/(TabTRADER[[#This Row],[M]]-TabTRADER[[#This Row],[A]])-1</f>
        <v>2.1344655402389443</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+2,430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-2,090$</v>
      </c>
      <c r="G27" s="225" t="str">
        <f ca="1">IFERROR(TRUNC(_xlfn.XLOOKUP(TabTRADER[[#This Row],[ClickTick]],TabCalc[Ticker],ListLastSalep),2)&amp;"x"&amp;_xlfn.XLOOKUP(TabTRADER[[#This Row],[ClickTick]],TabCalc[Ticker],ListLastSalen)&amp;"=   "&amp;TEXT(-_xlfn.XLOOKUP(TabTRADER[[#This Row],[ClickTick]],TabCalc[Ticker],ListReverseB),"#,#0")&amp;"$","")</f>
        <v>64.9x1000=   5$</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0.0% = 0</v>
      </c>
      <c r="I27" s="226" t="str">
        <f ca="1">IFERROR(TRUNC(TabCalc[[#This Row],[L_S1p]],2)&amp;"x"&amp;TabCalc[[#This Row],[L_S1n]]&amp;"=   "&amp;TEXT(TabCalc[[#This Row],[ReverseB1]],"#,#0"),"")</f>
        <v>71.82x1000=   6,915</v>
      </c>
      <c r="J27" s="295">
        <f ca="1">_xlfn.XLOOKUP(TabTRADER[[#This Row],[ClickTick]],TabCalc[Ticker],ListGravity)</f>
        <v>1.1716424004313997</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64905</v>
      </c>
      <c r="M27" s="323">
        <f ca="1">_xlfn.XLOOKUP(TabTRADER[[#This Row],[ClickTick]],TabCalc[Ticker],TabCalc[Agiotage])</f>
        <v>0.85989897177837271</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1.9076778144135713E-2</v>
      </c>
      <c r="S27" s="683">
        <f ca="1">_xlfn.XLOOKUP(TabTRADER[[#This Row],[ClickTick]],TabCalc[Ticker],TabCalc[Rev(MinStock)])*(1-Commission)</f>
        <v>2423.6820000000066</v>
      </c>
      <c r="T27" s="782">
        <f ca="1">_xlfn.XLOOKUP(TabTRADER[[#This Row],[ClickTick]],TabCalc[Ticker],TabCalc[Agiotage])</f>
        <v>0.85989897177837271</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6,600/6,600=&gt;2.3% / 2.3%</v>
      </c>
      <c r="V27" s="739" t="str">
        <f ca="1">_xlfn.XLOOKUP(TabTRADER[[#This Row],[ClickTick]],[1]!RTData[Ticker_Symbol],[1]!RTData[Currency])</f>
        <v>USD</v>
      </c>
      <c r="W27" s="749">
        <f ca="1">_xlfn.XLOOKUP(TabTRADER[[#This Row],[ClickTick]],TabCalc[Ticker],TabCalc[M])</f>
        <v>64.905000000000001</v>
      </c>
      <c r="X27" s="1343"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^101/389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4.9869999999954642</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-11636.238342857157</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-2.9086689489812963E-2</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-2.5229643324860109E-3</v>
      </c>
      <c r="AL27" s="825" cm="1">
        <f t="array" aca="1" ref="AL27" ca="1">_xlfn.IFS(   TabTRADER[[#This Row],[Traps]]=SellMorePercentGain,                     MIN(TabTRADER[[#This Row],[L_Sn]],TabTRADER[[#This Row],[N]])*(TabTRADER[[#This Row],[M]]-TabTRADER[[#This Row],[L_Sp]])*(1-Commission)*TabTRADER[[#This Row],[Scale]],                    TRUE,"")</f>
        <v>4.9869999999954642</v>
      </c>
      <c r="AM27" s="1175">
        <f ca="1">_xlfn.XLOOKUP(TabTRADER[[#This Row],[ClickTick]],TabCalc[Ticker],TabCalc[Ann%RevLB])</f>
        <v>2.2892133772962855</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-3.1686689489812965E-2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-11297.778691349014</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-1.5%</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2,000x-1.94</v>
      </c>
      <c r="AU27" s="765" cm="1">
        <f t="array" aca="1" ref="AU27" ca="1">_xlfn.IFS(TabTRADER[[#This Row],[Traps]]=ReSaleGain,"",         TabTRADER[[#This Row],[Traps]]=MDown, (TabTRADER[[#This Row],[M]]-TabTRADER[[#This Row],[A]])/TabTRADER[[#This Row],[A]]*ComFactor,             TRUE, IFERROR((TabTRADER[[#This Row],[M]]-TabTRADER[[#This Row],[A]])/TabTRADER[[#This Row],[A]]*ComFactor,""))</f>
        <v>-2.9011064097139449E-2</v>
      </c>
      <c r="AV27" s="762" cm="1">
        <f t="array" aca="1" ref="AV27" ca="1">_xlfn.IFS(               TabTRADER[[#This Row],[Traps]]=NoStock,(TabTRADER[[#This Row],[L_Sp]]-TabTRADER[[#This Row],[M]])/TabTRADER[[#This Row],[M]]-Commission,             TabTRADER[[#This Row],[A]]&lt;&gt;0,(TabTRADER[[#This Row],[A]]-TabTRADER[[#This Row],[M]])/TabTRADER[[#This Row],[M]]-Commission)</f>
        <v>2.7358070586681674E-2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-7.7041602465261201E-5</v>
      </c>
      <c r="AZ27" s="729">
        <f ca="1">TabTRADER[[#This Row],[L_Sn]]*(TabTRADER[[#This Row],[M]]-TabTRADER[[#This Row],[L_Sp]])*(1-Commission)*TabTRADER[[#This Row],[Scale]]</f>
        <v>4.9869999999954642</v>
      </c>
      <c r="BA27" s="692">
        <f ca="1">TabTRADER[[#This Row],[L_Sn]]*(TabTRADER[[#This Row],[Agiotage]]-TabTRADER[[#This Row],[M]])/(TabTRADER[[#This Row],[L_Bn]]*TabTRADER[[#This Row],[M]])</f>
        <v>-0.49337571087144</v>
      </c>
      <c r="BB27" s="635">
        <f ca="1">IFERROR((TabTRADER[[#This Row],[M]]-TabTRADER[[#This Row],[A]])/TabTRADER[[#This Row],[A]],0)</f>
        <v>-2.9086689489812963E-2</v>
      </c>
      <c r="BC27" s="638" t="str">
        <f ca="1">TEXT(_xlfn.XLOOKUP(TabTRADER[[#This Row],[ClickTick]],TabCalc[Ticker],TabCalc[NAfter]),"#,#0")&amp;" : "&amp;TEXT(_xlfn.XLOOKUP(TabTRADER[[#This Row],[ClickTick]],TabCalc[Ticker],TabCalc[NAfter])*(TabTRADER[[#This Row],[M]]-TabTRADER[[#This Row],[A]])*(1-Commission)*TabTRADER[[#This Row],[Scale]],"#,#0$")</f>
        <v>6,000 : -11,636$</v>
      </c>
      <c r="BD27" s="684">
        <f ca="1">_xlfn.XLOOKUP(TabTRADER[[#This Row],[ClickTick]],TabCalc[[#This Row],[Ticker]],TabCalc[[#This Row],[GL]])*(1-Commission)</f>
        <v>100456.12322599998</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7.7035667513988945E-5</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-7.4719284532925229E-2</v>
      </c>
      <c r="BO27" s="687">
        <f ca="1">(TabTRADER[[#This Row],[M]]-TabTRADER[[#This Row],[Agiotage]])/(TabTRADER[[#This Row],[M]]-TabTRADER[[#This Row],[A]])-1</f>
        <v>-33.937749408386658</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6,510$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20.4% = 0</v>
      </c>
      <c r="I28" s="226" t="str">
        <f ca="1">IFERROR(TRUNC(TabCalc[[#This Row],[L_S1p]],2)&amp;"x"&amp;TabCalc[[#This Row],[L_S1n]]&amp;"=   "&amp;TEXT(TabCalc[[#This Row],[ReverseB1]],"#,#0"),"")</f>
        <v>4.96x2276=   -12,898</v>
      </c>
      <c r="J28" s="295">
        <f ca="1">_xlfn.XLOOKUP(TabTRADER[[#This Row],[ClickTick]],TabCalc[Ticker],ListGravity)</f>
        <v>1.4111006585136405</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2.7624119502200064</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0.43261455525606479</v>
      </c>
      <c r="S28" s="683">
        <f ca="1">_xlfn.XLOOKUP(TabTRADER[[#This Row],[ClickTick]],TabCalc[Ticker],TabCalc[Rev(MinStock)])*(1-Commission)</f>
        <v>0</v>
      </c>
      <c r="T28" s="782">
        <f ca="1">_xlfn.XLOOKUP(TabTRADER[[#This Row],[ClickTick]],TabCalc[Ticker],TabCalc[Agiotage])</f>
        <v>2.7624119502200064</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-7.1%</v>
      </c>
      <c r="V28" s="739" t="str">
        <f ca="1">_xlfn.XLOOKUP(TabTRADER[[#This Row],[ClickTick]],[1]!RTData[Ticker_Symbol],[1]!RTData[Currency])</f>
        <v>USD</v>
      </c>
      <c r="W28" s="749">
        <f ca="1">_xlfn.XLOOKUP(TabTRADER[[#This Row],[ClickTick]],TabCalc[Ticker],TabCalc[M])</f>
        <v>10.63</v>
      </c>
      <c r="X28" s="1343"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0.4792038150528718</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0x10.63</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-0.20673922859830665</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-0.25650118203309691</v>
      </c>
      <c r="AZ28" s="729">
        <f ca="1">TabTRADER[[#This Row],[L_Sn]]*(TabTRADER[[#This Row],[M]]-TabTRADER[[#This Row],[L_Sp]])*(1-Commission)*TabTRADER[[#This Row],[Scale]]</f>
        <v>6493.0739999999996</v>
      </c>
      <c r="BA28" s="692">
        <f ca="1">TabTRADER[[#This Row],[L_Sn]]*(TabTRADER[[#This Row],[Agiotage]]-TabTRADER[[#This Row],[M]])/(TabTRADER[[#This Row],[L_Bn]]*TabTRADER[[#This Row],[M]])</f>
        <v>-0.74013057853057329</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-0.25986942146942671</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+54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51.7%</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75$</v>
      </c>
      <c r="G29" s="225" t="str">
        <f ca="1">IFERROR(TRUNC(_xlfn.XLOOKUP(TabTRADER[[#This Row],[ClickTick]],TabCalc[Ticker],ListLastSalep),2)&amp;"x"&amp;_xlfn.XLOOKUP(TabTRADER[[#This Row],[ClickTick]],TabCalc[Ticker],ListLastSalen)&amp;"=   "&amp;TEXT(-_xlfn.XLOOKUP(TabTRADER[[#This Row],[ClickTick]],TabCalc[Ticker],ListReverseB),"#,#0")&amp;"$","")</f>
        <v>6.8x990=   3,648$</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-35.1% = 0</v>
      </c>
      <c r="I29" s="226" t="str">
        <f ca="1">IFERROR(TRUNC(TabCalc[[#This Row],[L_S1p]],2)&amp;"x"&amp;TabCalc[[#This Row],[L_S1n]]&amp;"=   "&amp;TEXT(TabCalc[[#This Row],[ReverseB1]],"#,#0"),"")</f>
        <v>5.56x1000=   -4,925</v>
      </c>
      <c r="J29" s="295">
        <f ca="1">_xlfn.XLOOKUP(TabTRADER[[#This Row],[ClickTick]],TabCalc[Ticker],ListGravity)</f>
        <v>0.56824034334763951</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0.77531527078625462</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1.0687409979677605</v>
      </c>
      <c r="S29" s="683">
        <f ca="1">_xlfn.XLOOKUP(TabTRADER[[#This Row],[ClickTick]],TabCalc[Ticker],TabCalc[Rev(MinStock)])*(1-Commission)</f>
        <v>54.026165799999994</v>
      </c>
      <c r="T29" s="782">
        <f ca="1">_xlfn.XLOOKUP(TabTRADER[[#This Row],[ClickTick]],TabCalc[Ticker],TabCalc[Agiotage])</f>
        <v>0.77531527078625462</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-4/-4=&gt;-4.2% / -4.2%</v>
      </c>
      <c r="V29" s="739" t="str">
        <f ca="1">_xlfn.XLOOKUP(TabTRADER[[#This Row],[ClickTick]],[1]!RTData[Ticker_Symbol],[1]!RTData[Currency])</f>
        <v>USD</v>
      </c>
      <c r="W29" s="749">
        <f ca="1">_xlfn.XLOOKUP(TabTRADER[[#This Row],[ClickTick]],TabCalc[Ticker],TabCalc[M])</f>
        <v>10.484999999999999</v>
      </c>
      <c r="X29" s="1343"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36.754189999999994</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54.026165799999994</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1.0687409979677605</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0.34885445875059606</v>
      </c>
      <c r="AL29" s="825" cm="1">
        <f t="array" aca="1" ref="AL29" ca="1">_xlfn.IFS(   TabTRADER[[#This Row],[Traps]]=SellMorePercentGain,                     MIN(TabTRADER[[#This Row],[L_Sn]],TabTRADER[[#This Row],[N]])*(TabTRADER[[#This Row],[M]]-TabTRADER[[#This Row],[L_Sp]])*(1-Commission)*TabTRADER[[#This Row],[Scale]],                    TRUE,"")</f>
        <v>36.754189999999994</v>
      </c>
      <c r="AM29" s="1175">
        <f ca="1">_xlfn.XLOOKUP(TabTRADER[[#This Row],[ClickTick]],TabCalc[Ticker],TabCalc[Ann%RevLB])</f>
        <v>1.3547421100999781</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1.0661409979677605</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111.76614415346367</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10x5.41</v>
      </c>
      <c r="AU29" s="765" cm="1">
        <f t="array" aca="1" ref="AU29" ca="1">_xlfn.IFS(TabTRADER[[#This Row],[Traps]]=ReSaleGain,"",         TabTRADER[[#This Row],[Traps]]=MDown, (TabTRADER[[#This Row],[M]]-TabTRADER[[#This Row],[A]])/TabTRADER[[#This Row],[A]]*ComFactor,             TRUE, IFERROR((TabTRADER[[#This Row],[M]]-TabTRADER[[#This Row],[A]])/TabTRADER[[#This Row],[A]]*ComFactor,""))</f>
        <v>1.0659622713730443</v>
      </c>
      <c r="AV29" s="762" cm="1">
        <f t="array" aca="1" ref="AV29" ca="1">_xlfn.IFS(               TabTRADER[[#This Row],[Traps]]=NoStock,(TabTRADER[[#This Row],[L_Sp]]-TabTRADER[[#This Row],[M]])/TabTRADER[[#This Row],[M]]-Commission,             TabTRADER[[#This Row],[A]]&lt;&gt;0,(TabTRADER[[#This Row],[A]]-TabTRADER[[#This Row],[M]])/TabTRADER[[#This Row],[M]]-Commission)</f>
        <v>-0.5192142107773009</v>
      </c>
      <c r="AW29" s="324">
        <f ca="1">_xlfn.XLOOKUP(TabTRADER[[#This Row],[ClickTick]],TabCalc[Ticker],TabCalc[L_Sn])</f>
        <v>990</v>
      </c>
      <c r="AX29" s="728">
        <f ca="1">_xlfn.XLOOKUP(TabTRADER[[#This Row],[ClickTick]],TabCalc[Ticker],TabCalc[L_Sp])</f>
        <v>6.8</v>
      </c>
      <c r="AY29" s="764">
        <f ca="1">-IFERROR((TabTRADER[[#This Row],[M]]-TabTRADER[[#This Row],[L_Sp]])/TabTRADER[[#This Row],[L_Sp]],0)</f>
        <v>-0.54191176470588232</v>
      </c>
      <c r="AZ29" s="729">
        <f ca="1">TabTRADER[[#This Row],[L_Sn]]*(TabTRADER[[#This Row],[M]]-TabTRADER[[#This Row],[L_Sp]])*(1-Commission)*TabTRADER[[#This Row],[Scale]]</f>
        <v>3638.6648099999993</v>
      </c>
      <c r="BA29" s="692">
        <f ca="1">TabTRADER[[#This Row],[L_Sn]]*(TabTRADER[[#This Row],[Agiotage]]-TabTRADER[[#This Row],[M]])/(TabTRADER[[#This Row],[L_Bn]]*TabTRADER[[#This Row],[M]])</f>
        <v>-0.45839713313884628</v>
      </c>
      <c r="BB29" s="635">
        <f ca="1">IFERROR((TabTRADER[[#This Row],[M]]-TabTRADER[[#This Row],[A]])/TabTRADER[[#This Row],[A]],0)</f>
        <v>1.0687409979677605</v>
      </c>
      <c r="BC29" s="638" t="str">
        <f ca="1">TEXT(_xlfn.XLOOKUP(TabTRADER[[#This Row],[ClickTick]],TabCalc[Ticker],TabCalc[NAfter]),"#,#0")&amp;" : "&amp;TEXT(_xlfn.XLOOKUP(TabTRADER[[#This Row],[ClickTick]],TabCalc[Ticker],TabCalc[NAfter])*(TabTRADER[[#This Row],[M]]-TabTRADER[[#This Row],[A]])*(1-Commission)*TabTRADER[[#This Row],[Scale]],"#,#0$")</f>
        <v>10 : 54$</v>
      </c>
      <c r="BD29" s="684">
        <f ca="1">_xlfn.XLOOKUP(TabTRADER[[#This Row],[ClickTick]],TabCalc[[#This Row],[Ticker]],TabCalc[[#This Row],[GL]])*(1-Commission)</f>
        <v>14757.28105</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0.35145445875059605</v>
      </c>
      <c r="BJ29" s="679">
        <f ca="1">TabTRADER[[#This Row],[L_Sn]]*TabTRADER[[#This Row],[L_Sp]]+TabTRADER[[#This Row],[SellMore]]*TabTRADER[[#This Row],[M]]</f>
        <v>6836.85</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6.8368500000000001</v>
      </c>
      <c r="BN29" s="687">
        <f ca="1">((_xlfn.XLOOKUP(TabTRADER[[#This Row],[ClickTick]],TabCalc[Ticker],TabCalc[NAfter])+TabTRADER[[#This Row],[L_Sn]])*(TabTRADER[[#This Row],[Agiotage]]-TabTRADER[[#This Row],[M]]))/(TabTRADER[[#This Row],[L_Sn]]*_xlfn.XLOOKUP(TabTRADER[[#This Row],[ClickTick]],TabCalc[Ticker],TabCalc[NAfter]))</f>
        <v>-0.98077623527411562</v>
      </c>
      <c r="BO29" s="687">
        <f ca="1">(TabTRADER[[#This Row],[M]]-TabTRADER[[#This Row],[Agiotage]])/(TabTRADER[[#This Row],[M]]-TabTRADER[[#This Row],[A]])-1</f>
        <v>0.79254614972469306</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-50,475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-68.6%</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-22,605$</v>
      </c>
      <c r="G30" s="225" t="str">
        <f ca="1">IFERROR(TRUNC(_xlfn.XLOOKUP(TabTRADER[[#This Row],[ClickTick]],TabCalc[Ticker],ListLastSalep),2)&amp;"x"&amp;_xlfn.XLOOKUP(TabTRADER[[#This Row],[ClickTick]],TabCalc[Ticker],ListLastSalen)&amp;"=   "&amp;TEXT(-_xlfn.XLOOKUP(TabTRADER[[#This Row],[ClickTick]],TabCalc[Ticker],ListReverseB),"#,#0")&amp;"$","")</f>
        <v>88.24x1500=   -95,573$</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259.8% = 78</v>
      </c>
      <c r="I30" s="226" t="str">
        <f ca="1">IFERROR(TRUNC(TabCalc[[#This Row],[L_S1p]],2)&amp;"x"&amp;TabCalc[[#This Row],[L_S1n]]&amp;"=   "&amp;TEXT(TabCalc[[#This Row],[ReverseB1]],"#,#0"),"")</f>
        <v>125.31x2800=   282,198</v>
      </c>
      <c r="J30" s="295">
        <f ca="1">_xlfn.XLOOKUP(TabTRADER[[#This Row],[ClickTick]],TabCalc[Ticker],ListGravity)</f>
        <v>1.6432212028542303</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289395</v>
      </c>
      <c r="M30" s="323">
        <f ca="1">_xlfn.XLOOKUP(TabTRADER[[#This Row],[ClickTick]],TabCalc[Ticker],TabCalc[Agiotage])</f>
        <v>0.77200431078922915</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-0.40689238210399037</v>
      </c>
      <c r="S30" s="683">
        <f ca="1">_xlfn.XLOOKUP(TabTRADER[[#This Row],[ClickTick]],TabCalc[Ticker],TabCalc[Rev(MinStock)])*(1-Commission)</f>
        <v>-50343.765000000007</v>
      </c>
      <c r="T30" s="782">
        <f ca="1">_xlfn.XLOOKUP(TabTRADER[[#This Row],[ClickTick]],TabCalc[Ticker],TabCalc[Agiotage])</f>
        <v>0.77200431078922915</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7,860/7,860=&gt;0.8% / 0.8%</v>
      </c>
      <c r="V30" s="739" t="str">
        <f ca="1">_xlfn.XLOOKUP(TabTRADER[[#This Row],[ClickTick]],[1]!RTData[Ticker_Symbol],[1]!RTData[Currency])</f>
        <v>USD</v>
      </c>
      <c r="W30" s="749">
        <f ca="1">_xlfn.XLOOKUP(TabTRADER[[#This Row],[ClickTick]],TabCalc[Ticker],TabCalc[M])</f>
        <v>24.524999999999999</v>
      </c>
      <c r="X30" s="1343"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-519/294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50343.765000000007</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294300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0.65768881631328324</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0.6834346585117228</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-0.51943708353700901</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0.68603465851172285</v>
      </c>
      <c r="AP30" s="825" cm="1">
        <f t="array" aca="1" ref="AP30" ca="1">_xlfn.IFS(         TabTRADER[[#This Row],[Traps]]=MDown,TabTRADER[[#This Row],[L_Bn]]*TabTRADER[[#This Row],[M]]*(-(TabTRADER[[#This Row],[L_Bp]]+TabTRADER[[#This Row],[M]])/TabTRADER[[#This Row],[M]])*(1-Commission)*TabTRADER[[#This Row],[Scale]],                               TRUE,"")</f>
        <v>50343.765000000007</v>
      </c>
      <c r="AQ30" s="1186" cm="1">
        <f t="array" aca="1" ref="AQ30" ca="1">_xlfn.IFS(   TabTRADER[[#This Row],[Traps]]=MUp,TabTRADER[[#This Row],[TakeGain_A]]-Commission,        TabTRADER[[#This Row],[Traps]]=MDown,(TabTRADER[[#This Row],[A]]-TabTRADER[[#This Row],[M]])/TabTRADER[[#This Row],[M]]-Commission,                              TRUE,"")</f>
        <v>1.9187185185185187</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563973.88549600006</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-16.82</v>
      </c>
      <c r="AU30" s="765" cm="1">
        <f t="array" aca="1" ref="AU30" ca="1">_xlfn.IFS(TabTRADER[[#This Row],[Traps]]=ReSaleGain,"",         TabTRADER[[#This Row],[Traps]]=MDown, (TabTRADER[[#This Row],[M]]-TabTRADER[[#This Row],[A]])/TabTRADER[[#This Row],[A]]*ComFactor,             TRUE, IFERROR((TabTRADER[[#This Row],[M]]-TabTRADER[[#This Row],[A]])/TabTRADER[[#This Row],[A]]*ComFactor,""))</f>
        <v>-0.65597882539086871</v>
      </c>
      <c r="AV30" s="762" cm="1">
        <f t="array" aca="1" ref="AV30" ca="1">_xlfn.IFS(               TabTRADER[[#This Row],[Traps]]=NoStock,(TabTRADER[[#This Row],[L_Sp]]-TabTRADER[[#This Row],[M]])/TabTRADER[[#This Row],[M]]-Commission,             TabTRADER[[#This Row],[A]]&lt;&gt;0,(TabTRADER[[#This Row],[A]]-TabTRADER[[#This Row],[M]])/TabTRADER[[#This Row],[M]]-Commission)</f>
        <v>1.9187185185185187</v>
      </c>
      <c r="AW30" s="324">
        <f ca="1">_xlfn.XLOOKUP(TabTRADER[[#This Row],[ClickTick]],TabCalc[Ticker],TabCalc[L_Sn])</f>
        <v>1500</v>
      </c>
      <c r="AX30" s="728">
        <f ca="1">_xlfn.XLOOKUP(TabTRADER[[#This Row],[ClickTick]],TabCalc[Ticker],TabCalc[L_Sp])</f>
        <v>88.24</v>
      </c>
      <c r="AY30" s="764">
        <f ca="1">-IFERROR((TabTRADER[[#This Row],[M]]-TabTRADER[[#This Row],[L_Sp]])/TabTRADER[[#This Row],[L_Sp]],0)</f>
        <v>0.72206482320942889</v>
      </c>
      <c r="AZ30" s="729">
        <f ca="1">TabTRADER[[#This Row],[L_Sn]]*(TabTRADER[[#This Row],[M]]-TabTRADER[[#This Row],[L_Sp]])*(1-Commission)*TabTRADER[[#This Row],[Scale]]</f>
        <v>-95324.011499999993</v>
      </c>
      <c r="BA30" s="692">
        <f ca="1">TabTRADER[[#This Row],[L_Sn]]*(TabTRADER[[#This Row],[Agiotage]]-TabTRADER[[#This Row],[M]])/(TabTRADER[[#This Row],[L_Bn]]*TabTRADER[[#This Row],[M]])</f>
        <v>-0.48426087032030107</v>
      </c>
      <c r="BB30" s="635">
        <f ca="1">IFERROR((TabTRADER[[#This Row],[M]]-TabTRADER[[#This Row],[A]])/TabTRADER[[#This Row],[A]],0)</f>
        <v>-0.65768881631328324</v>
      </c>
      <c r="BC30" s="638" t="str">
        <f ca="1">TEXT(_xlfn.XLOOKUP(TabTRADER[[#This Row],[ClickTick]],TabCalc[Ticker],TabCalc[NAfter]),"#,#0")&amp;" : "&amp;TEXT(_xlfn.XLOOKUP(TabTRADER[[#This Row],[ClickTick]],TabCalc[Ticker],TabCalc[NAfter])*(TabTRADER[[#This Row],[M]]-TabTRADER[[#This Row],[A]])*(1-Commission)*TabTRADER[[#This Row],[Scale]],"#,#0$")</f>
        <v>12,000 : -563,974$</v>
      </c>
      <c r="BD30" s="684">
        <f ca="1">_xlfn.XLOOKUP(TabTRADER[[#This Row],[ClickTick]],TabCalc[[#This Row],[Ticker]],TabCalc[[#This Row],[GL]])*(1-Commission)</f>
        <v>-517552.82487799996</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0.68603465851172285</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-1.7814746766908078E-2</v>
      </c>
      <c r="BO30" s="687">
        <f ca="1">(TabTRADER[[#This Row],[M]]-TabTRADER[[#This Row],[Agiotage]])/(TabTRADER[[#This Row],[M]]-TabTRADER[[#This Row],[A]])-1</f>
        <v>-1.5040922321341106</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-2,430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190</v>
      </c>
      <c r="F31" s="226" t="str">
        <f ca="1">TRUNC(TabCalc[[#This Row],[L_B1p]],2)&amp;"x"&amp;TabCalc[[#This Row],[L_B1n]]&amp;"=   "&amp;TEXT(TabCalc[[#This Row],[ReverseS1]],"#,#0")&amp;"$"</f>
        <v>-378.43x150=   17,880$</v>
      </c>
      <c r="G31" s="225" t="str">
        <f ca="1">IFERROR(TRUNC(_xlfn.XLOOKUP(TabTRADER[[#This Row],[ClickTick]],TabCalc[Ticker],ListLastSalep),2)&amp;"x"&amp;_xlfn.XLOOKUP(TabTRADER[[#This Row],[ClickTick]],TabCalc[Ticker],ListLastSalen)&amp;"=   "&amp;TEXT(-_xlfn.XLOOKUP(TabTRADER[[#This Row],[ClickTick]],TabCalc[Ticker],ListReverseB),"#,#0")&amp;"$","")</f>
        <v>523.92x150=   -3,943$</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190</v>
      </c>
      <c r="I31" s="226" t="str">
        <f ca="1">IFERROR(TRUNC(TabCalc[[#This Row],[L_S1p]],2)&amp;"x"&amp;TabCalc[[#This Row],[L_S1n]]&amp;"=   "&amp;TEXT(TabCalc[[#This Row],[ReverseB1]],"#,#0"),"")</f>
        <v>515.24x200=   3,523</v>
      </c>
      <c r="J31" s="295">
        <f ca="1">_xlfn.XLOOKUP(TabTRADER[[#This Row],[ClickTick]],TabCalc[Ticker],ListGravity)</f>
        <v>1.2584180214215379</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0.80134100862322255</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-3.152793725551261E-2</v>
      </c>
      <c r="S31" s="683">
        <f ca="1">_xlfn.XLOOKUP(TabTRADER[[#This Row],[ClickTick]],TabCalc[Ticker],TabCalc[Rev(MinStock)])*(1-Commission)</f>
        <v>-2423.6820000000066</v>
      </c>
      <c r="T31" s="782">
        <f ca="1">_xlfn.XLOOKUP(TabTRADER[[#This Row],[ClickTick]],TabCalc[Ticker],TabCalc[Agiotage])</f>
        <v>0.80134100862322255</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6,174/6,174=&gt;0.1% / 0.1%</v>
      </c>
      <c r="V31" s="739" t="str">
        <f ca="1">_xlfn.XLOOKUP(TabTRADER[[#This Row],[ClickTick]],[1]!RTData[Ticker_Symbol],[1]!RTData[Currency])</f>
        <v>USD</v>
      </c>
      <c r="W31" s="749">
        <f ca="1">_xlfn.XLOOKUP(TabTRADER[[#This Row],[ClickTick]],TabCalc[Ticker],TabCalc[M])</f>
        <v>497.63</v>
      </c>
      <c r="X31" s="1343"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^3,962/4,877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2423.6820000000066</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4876774</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-0.48999503087918733</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2.9954307417157419E-2</v>
      </c>
      <c r="AL31" s="825" t="str" cm="1">
        <f t="array" aca="1" ref="AL31" ca="1">_xlfn.IFS(   TabTRADER[[#This Row],[Traps]]=SellMorePercentGain,                     MIN(TabTRADER[[#This Row],[L_Sn]],TabTRADER[[#This Row],[N]])*(TabTRADER[[#This Row],[M]]-TabTRADER[[#This Row],[L_Sp]])*(1-Commission)*TabTRADER[[#This Row],[Scale]],                    TRUE,"")</f>
        <v/>
      </c>
      <c r="AM31" s="1341">
        <f ca="1">_xlfn.XLOOKUP(TabTRADER[[#This Row],[ClickTick]],TabCalc[Ticker],TabCalc[Ann%RevLB])</f>
        <v>-0.45400229647938156</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3.2554307417157417E-2</v>
      </c>
      <c r="AP31" s="825" cm="1">
        <f t="array" aca="1" ref="AP31" ca="1">_xlfn.IFS(         TabTRADER[[#This Row],[Traps]]=MDown,TabTRADER[[#This Row],[L_Bn]]*TabTRADER[[#This Row],[M]]*(-(TabTRADER[[#This Row],[L_Bp]]+TabTRADER[[#This Row],[M]])/TabTRADER[[#This Row],[M]])*(1-Commission)*TabTRADER[[#This Row],[Scale]],                               TRUE,"")</f>
        <v>2423.6820000000066</v>
      </c>
      <c r="AQ31" s="1186" cm="1">
        <f t="array" aca="1" ref="AQ31" ca="1">_xlfn.IFS(   TabTRADER[[#This Row],[Traps]]=MUp,TabTRADER[[#This Row],[TakeGain_A]]-Commission,        TabTRADER[[#This Row],[Traps]]=MDown,(TabTRADER[[#This Row],[A]]-TabTRADER[[#This Row],[M]])/TabTRADER[[#This Row],[M]]-Commission,                              TRUE,"")</f>
        <v>-0.33145682215333333</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-1599590.6229599998</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-16.2</v>
      </c>
      <c r="AU31" s="765" cm="1">
        <f t="array" aca="1" ref="AU31" ca="1">_xlfn.IFS(TabTRADER[[#This Row],[Traps]]=ReSaleGain,"",         TabTRADER[[#This Row],[Traps]]=MDown, (TabTRADER[[#This Row],[M]]-TabTRADER[[#This Row],[A]])/TabTRADER[[#This Row],[A]]*ComFactor,             TRUE, IFERROR((TabTRADER[[#This Row],[M]]-TabTRADER[[#This Row],[A]])/TabTRADER[[#This Row],[A]]*ComFactor,""))</f>
        <v>0.48872104379890141</v>
      </c>
      <c r="AV31" s="762" cm="1">
        <f t="array" aca="1" ref="AV31" ca="1">_xlfn.IFS(               TabTRADER[[#This Row],[Traps]]=NoStock,(TabTRADER[[#This Row],[L_Sp]]-TabTRADER[[#This Row],[M]])/TabTRADER[[#This Row],[M]]-Commission,             TabTRADER[[#This Row],[A]]&lt;&gt;0,(TabTRADER[[#This Row],[A]]-TabTRADER[[#This Row],[M]])/TabTRADER[[#This Row],[M]]-Commission)</f>
        <v>-0.33145682215333333</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5.0179416704840371E-2</v>
      </c>
      <c r="AZ31" s="729">
        <f ca="1">TabTRADER[[#This Row],[L_Sn]]*(TabTRADER[[#This Row],[M]]-TabTRADER[[#This Row],[L_Sp]])*(1-Commission)*TabTRADER[[#This Row],[Scale]]</f>
        <v>-3933.2468999999942</v>
      </c>
      <c r="BA31" s="692">
        <f ca="1">TabTRADER[[#This Row],[L_Sn]]*(TabTRADER[[#This Row],[Agiotage]]-TabTRADER[[#This Row],[M]])/(TabTRADER[[#This Row],[L_Bn]]*TabTRADER[[#This Row],[M]])</f>
        <v>-0.99838968509008053</v>
      </c>
      <c r="BB31" s="635">
        <f ca="1">IFERROR((TabTRADER[[#This Row],[M]]-TabTRADER[[#This Row],[A]])/TabTRADER[[#This Row],[A]],0)</f>
        <v>0.48999503087918733</v>
      </c>
      <c r="BC31" s="638" t="str">
        <f ca="1">TEXT(_xlfn.XLOOKUP(TabTRADER[[#This Row],[ClickTick]],TabCalc[Ticker],TabCalc[NAfter]),"#,#0")&amp;" : "&amp;TEXT(_xlfn.XLOOKUP(TabTRADER[[#This Row],[ClickTick]],TabCalc[Ticker],TabCalc[NAfter])*(TabTRADER[[#This Row],[M]]-TabTRADER[[#This Row],[A]])*(1-Commission)*TabTRADER[[#This Row],[Scale]],"#,#0$")</f>
        <v>9,800 : 1,599,591$</v>
      </c>
      <c r="BD31" s="684">
        <f ca="1">_xlfn.XLOOKUP(TabTRADER[[#This Row],[ClickTick]],TabCalc[[#This Row],[Ticker]],TabCalc[[#This Row],[GL]])*(1-Commission)</f>
        <v>3952021.5187439998</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3.2554307417157417E-2</v>
      </c>
      <c r="BJ31" s="679">
        <f ca="1">TabTRADER[[#This Row],[L_Sn]]*TabTRADER[[#This Row],[L_Sp]]+TabTRADER[[#This Row],[SellMore]]*TabTRADER[[#This Row],[M]]</f>
        <v>1073848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499.4641860465116</v>
      </c>
      <c r="BN31" s="687">
        <f ca="1">((_xlfn.XLOOKUP(TabTRADER[[#This Row],[ClickTick]],TabCalc[Ticker],TabCalc[NAfter])+TabTRADER[[#This Row],[L_Sn]])*(TabTRADER[[#This Row],[Agiotage]]-TabTRADER[[#This Row],[M]]))/(TabTRADER[[#This Row],[L_Sn]]*_xlfn.XLOOKUP(TabTRADER[[#This Row],[ClickTick]],TabCalc[Ticker],TabCalc[NAfter]))</f>
        <v>-3.3628878618804072</v>
      </c>
      <c r="BO31" s="687">
        <f ca="1">(TabTRADER[[#This Row],[M]]-TabTRADER[[#This Row],[Agiotage]])/(TabTRADER[[#This Row],[M]]-TabTRADER[[#This Row],[A]])-1</f>
        <v>2.0359403175907649</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734$</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32" s="226" t="str">
        <f ca="1">IFERROR(TRUNC(TabCalc[[#This Row],[L_S1p]],2)&amp;"x"&amp;TabCalc[[#This Row],[L_S1n]]&amp;"=   "&amp;TEXT(TabCalc[[#This Row],[ReverseB1]],"#,#0"),"")</f>
        <v>84.7x300=   299</v>
      </c>
      <c r="J32" s="295">
        <f ca="1">_xlfn.XLOOKUP(TabTRADER[[#This Row],[ClickTick]],TabCalc[Ticker],ListGravity)</f>
        <v>1.0870863696093658</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0.69580457722675726</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0.17900672816928745</v>
      </c>
      <c r="S32" s="683">
        <f ca="1">_xlfn.XLOOKUP(TabTRADER[[#This Row],[ClickTick]],TabCalc[Ticker],TabCalc[Rev(MinStock)])*(1-Commission)</f>
        <v>12.676512151799988</v>
      </c>
      <c r="T32" s="782">
        <f ca="1">_xlfn.XLOOKUP(TabTRADER[[#This Row],[ClickTick]],TabCalc[Ticker],TabCalc[Agiotage])</f>
        <v>0.69580457722675726</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2/2=&gt;2.1% / 2.1%</v>
      </c>
      <c r="V32" s="739" t="str">
        <f ca="1">_xlfn.XLOOKUP(TabTRADER[[#This Row],[ClickTick]],[1]!RTData[Ticker_Symbol],[1]!RTData[Currency])</f>
        <v>USD</v>
      </c>
      <c r="W32" s="749">
        <f ca="1">_xlfn.XLOOKUP(TabTRADER[[#This Row],[ClickTick]],TabCalc[Ticker],TabCalc[M])</f>
        <v>83.71</v>
      </c>
      <c r="X32" s="1343"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1.8352159999999891</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12.676512151799988</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0.17900672816928745</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1.9380647473420012E-2</v>
      </c>
      <c r="AL32" s="825" cm="1">
        <f t="array" aca="1" ref="AL32" ca="1">_xlfn.IFS(   TabTRADER[[#This Row],[Traps]]=SellMorePercentGain,                     MIN(TabTRADER[[#This Row],[L_Sn]],TabTRADER[[#This Row],[N]])*(TabTRADER[[#This Row],[M]]-TabTRADER[[#This Row],[L_Sp]])*(1-Commission)*TabTRADER[[#This Row],[Scale]],                    TRUE,"")</f>
        <v>1.8352159999999891</v>
      </c>
      <c r="AM32" s="1175">
        <f ca="1">_xlfn.XLOOKUP(TabTRADER[[#This Row],[ClickTick]],TabCalc[Ticker],TabCalc[Ann%RevLB])</f>
        <v>1.1110762438093704</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0.17640672816928746</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14.945693116691917</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1x12.7</v>
      </c>
      <c r="AU32" s="765" cm="1">
        <f t="array" aca="1" ref="AU32" ca="1">_xlfn.IFS(TabTRADER[[#This Row],[Traps]]=ReSaleGain,"",         TabTRADER[[#This Row],[Traps]]=MDown, (TabTRADER[[#This Row],[M]]-TabTRADER[[#This Row],[A]])/TabTRADER[[#This Row],[A]]*ComFactor,             TRUE, IFERROR((TabTRADER[[#This Row],[M]]-TabTRADER[[#This Row],[A]])/TabTRADER[[#This Row],[A]]*ComFactor,""))</f>
        <v>0.17854131067604728</v>
      </c>
      <c r="AV32" s="762" cm="1">
        <f t="array" aca="1" ref="AV32" ca="1">_xlfn.IFS(               TabTRADER[[#This Row],[Traps]]=NoStock,(TabTRADER[[#This Row],[L_Sp]]-TabTRADER[[#This Row],[M]])/TabTRADER[[#This Row],[M]]-Commission,             TabTRADER[[#This Row],[A]]&lt;&gt;0,(TabTRADER[[#This Row],[A]]-TabTRADER[[#This Row],[M]])/TabTRADER[[#This Row],[M]]-Commission)</f>
        <v>-0.15442841954366252</v>
      </c>
      <c r="AW32" s="324">
        <f ca="1">_xlfn.XLOOKUP(TabTRADER[[#This Row],[ClickTick]],TabCalc[Ticker],TabCalc[L_Sn])</f>
        <v>399</v>
      </c>
      <c r="AX32" s="728">
        <f ca="1">_xlfn.XLOOKUP(TabTRADER[[#This Row],[ClickTick]],TabCalc[Ticker],TabCalc[L_Sp])</f>
        <v>81.87</v>
      </c>
      <c r="AY32" s="764">
        <f ca="1">-IFERROR((TabTRADER[[#This Row],[M]]-TabTRADER[[#This Row],[L_Sp]])/TabTRADER[[#This Row],[L_Sp]],0)</f>
        <v>-2.2474654940759609E-2</v>
      </c>
      <c r="AZ32" s="729">
        <f ca="1">TabTRADER[[#This Row],[L_Sn]]*(TabTRADER[[#This Row],[M]]-TabTRADER[[#This Row],[L_Sp]])*(1-Commission)*TabTRADER[[#This Row],[Scale]]</f>
        <v>732.25118399999565</v>
      </c>
      <c r="BA32" s="692">
        <f ca="1">TabTRADER[[#This Row],[L_Sn]]*(TabTRADER[[#This Row],[Agiotage]]-TabTRADER[[#This Row],[M]])/(TabTRADER[[#This Row],[L_Bn]]*TabTRADER[[#This Row],[M]])</f>
        <v>-9.8920869590510468E-2</v>
      </c>
      <c r="BB32" s="635">
        <f ca="1">IFERROR((TabTRADER[[#This Row],[M]]-TabTRADER[[#This Row],[A]])/TabTRADER[[#This Row],[A]],0)</f>
        <v>0.17900672816928745</v>
      </c>
      <c r="BC32" s="638" t="str">
        <f ca="1">TEXT(_xlfn.XLOOKUP(TabTRADER[[#This Row],[ClickTick]],TabCalc[Ticker],TabCalc[NAfter]),"#,#0")&amp;" : "&amp;TEXT(_xlfn.XLOOKUP(TabTRADER[[#This Row],[ClickTick]],TabCalc[Ticker],TabCalc[NAfter])*(TabTRADER[[#This Row],[M]]-TabTRADER[[#This Row],[A]])*(1-Commission)*TabTRADER[[#This Row],[Scale]],"#,#0$")</f>
        <v>1 : 13$</v>
      </c>
      <c r="BD32" s="684">
        <f ca="1">_xlfn.XLOOKUP(TabTRADER[[#This Row],[ClickTick]],TabCalc[[#This Row],[Ticker]],TabCalc[[#This Row],[GL]])*(1-Commission)</f>
        <v>66544.395558799981</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2.1980647473420014E-2</v>
      </c>
      <c r="BJ32" s="679">
        <f ca="1">TabTRADER[[#This Row],[L_Sn]]*TabTRADER[[#This Row],[L_Sp]]+TabTRADER[[#This Row],[SellMore]]*TabTRADER[[#This Row],[M]]</f>
        <v>66150.13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82.791151439299128</v>
      </c>
      <c r="BN32" s="687">
        <f ca="1">((_xlfn.XLOOKUP(TabTRADER[[#This Row],[ClickTick]],TabCalc[Ticker],TabCalc[NAfter])+TabTRADER[[#This Row],[L_Sn]])*(TabTRADER[[#This Row],[Agiotage]]-TabTRADER[[#This Row],[M]]))/(TabTRADER[[#This Row],[L_Sn]]*_xlfn.XLOOKUP(TabTRADER[[#This Row],[ClickTick]],TabCalc[Ticker],TabCalc[NAfter]))</f>
        <v>-83.222251050399251</v>
      </c>
      <c r="BO32" s="687">
        <f ca="1">(TabTRADER[[#This Row],[M]]-TabTRADER[[#This Row],[Agiotage]])/(TabTRADER[[#This Row],[M]]-TabTRADER[[#This Row],[A]])-1</f>
        <v>5.5316356362989918</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+8,940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1,119/20,000=93,233</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3,470$</v>
      </c>
      <c r="G33" s="225" t="str">
        <f ca="1">IFERROR(TRUNC(_xlfn.XLOOKUP(TabTRADER[[#This Row],[ClickTick]],TabCalc[Ticker],ListLastSalep),2)&amp;"x"&amp;_xlfn.XLOOKUP(TabTRADER[[#This Row],[ClickTick]],TabCalc[Ticker],ListLastSalen)&amp;"=   "&amp;TEXT(-_xlfn.XLOOKUP(TabTRADER[[#This Row],[ClickTick]],TabCalc[Ticker],ListReverseB),"#,#0")&amp;"$","")</f>
        <v>81.47x2000=   3,760$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33" s="226" t="str">
        <f ca="1">IFERROR(TRUNC(TabCalc[[#This Row],[L_S1p]],2)&amp;"x"&amp;TabCalc[[#This Row],[L_S1n]]&amp;"=   "&amp;TEXT(TabCalc[[#This Row],[ReverseB1]],"#,#0"),"")</f>
        <v>94.22x1000=   10,870</v>
      </c>
      <c r="J33" s="295">
        <f ca="1">_xlfn.XLOOKUP(TabTRADER[[#This Row],[ClickTick]],TabCalc[Ticker],ListGravity)</f>
        <v>1.2325734853029395</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416750</v>
      </c>
      <c r="M33" s="323">
        <f ca="1">_xlfn.XLOOKUP(TabTRADER[[#This Row],[ClickTick]],TabCalc[Ticker],TabCalc[Agiotage])</f>
        <v>0.40252538018308653</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5.666835699797159E-2</v>
      </c>
      <c r="S33" s="683">
        <f ca="1">_xlfn.XLOOKUP(TabTRADER[[#This Row],[ClickTick]],TabCalc[Ticker],TabCalc[Rev(MinStock)])*(1-Commission)</f>
        <v>8916.7559999999976</v>
      </c>
      <c r="T33" s="782">
        <f ca="1">_xlfn.XLOOKUP(TabTRADER[[#This Row],[ClickTick]],TabCalc[Ticker],TabCalc[Agiotage])</f>
        <v>0.40252538018308653</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1,400/1,400=&gt;1.0% / 1.0%</v>
      </c>
      <c r="V33" s="739" t="str">
        <f ca="1">_xlfn.XLOOKUP(TabTRADER[[#This Row],[ClickTick]],[1]!RTData[Ticker_Symbol],[1]!RTData[Currency])</f>
        <v>USD</v>
      </c>
      <c r="W33" s="749">
        <f ca="1">_xlfn.XLOOKUP(TabTRADER[[#This Row],[ClickTick]],TabCalc[Ticker],TabCalc[M])</f>
        <v>83.35</v>
      </c>
      <c r="X33" s="1343"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^1,185/1,667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3750.2239999999906</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418157.86543399998</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0.33600257083119772</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1.9955488902219501E-2</v>
      </c>
      <c r="AL33" s="825" cm="1">
        <f t="array" aca="1" ref="AL33" ca="1">_xlfn.IFS(   TabTRADER[[#This Row],[Traps]]=SellMorePercentGain,                     MIN(TabTRADER[[#This Row],[L_Sn]],TabTRADER[[#This Row],[N]])*(TabTRADER[[#This Row],[M]]-TabTRADER[[#This Row],[L_Sp]])*(1-Commission)*TabTRADER[[#This Row],[Scale]],                    TRUE,"")</f>
        <v>3750.2239999999906</v>
      </c>
      <c r="AM33" s="1342">
        <f ca="1">_xlfn.XLOOKUP(TabTRADER[[#This Row],[ClickTick]],TabCalc[Ticker],TabCalc[Ann%RevLB])</f>
        <v>6.800202839756591</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0.33340257083119773</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558659.98323311005</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2,000x20.96</v>
      </c>
      <c r="AU33" s="765" cm="1">
        <f t="array" aca="1" ref="AU33" ca="1">_xlfn.IFS(TabTRADER[[#This Row],[Traps]]=ReSaleGain,"",         TabTRADER[[#This Row],[Traps]]=MDown, (TabTRADER[[#This Row],[M]]-TabTRADER[[#This Row],[A]])/TabTRADER[[#This Row],[A]]*ComFactor,             TRUE, IFERROR((TabTRADER[[#This Row],[M]]-TabTRADER[[#This Row],[A]])/TabTRADER[[#This Row],[A]]*ComFactor,""))</f>
        <v>0.33512896414703658</v>
      </c>
      <c r="AV33" s="762" cm="1">
        <f t="array" aca="1" ref="AV33" ca="1">_xlfn.IFS(               TabTRADER[[#This Row],[Traps]]=NoStock,(TabTRADER[[#This Row],[L_Sp]]-TabTRADER[[#This Row],[M]])/TabTRADER[[#This Row],[M]]-Commission,             TabTRADER[[#This Row],[A]]&lt;&gt;0,(TabTRADER[[#This Row],[A]]-TabTRADER[[#This Row],[M]])/TabTRADER[[#This Row],[M]]-Commission)</f>
        <v>-0.25409844631073786</v>
      </c>
      <c r="AW33" s="324">
        <f ca="1">_xlfn.XLOOKUP(TabTRADER[[#This Row],[ClickTick]],TabCalc[Ticker],TabCalc[L_Sn])</f>
        <v>2000</v>
      </c>
      <c r="AX33" s="728">
        <f ca="1">_xlfn.XLOOKUP(TabTRADER[[#This Row],[ClickTick]],TabCalc[Ticker],TabCalc[L_Sp])</f>
        <v>81.47</v>
      </c>
      <c r="AY33" s="764">
        <f ca="1">-IFERROR((TabTRADER[[#This Row],[M]]-TabTRADER[[#This Row],[L_Sp]])/TabTRADER[[#This Row],[L_Sp]],0)</f>
        <v>-2.3075978887934154E-2</v>
      </c>
      <c r="AZ33" s="729">
        <f ca="1">TabTRADER[[#This Row],[L_Sn]]*(TabTRADER[[#This Row],[M]]-TabTRADER[[#This Row],[L_Sp]])*(1-Commission)*TabTRADER[[#This Row],[Scale]]</f>
        <v>3750.2239999999906</v>
      </c>
      <c r="BA33" s="692">
        <f ca="1">TabTRADER[[#This Row],[L_Sn]]*(TabTRADER[[#This Row],[Agiotage]]-TabTRADER[[#This Row],[M]])/(TabTRADER[[#This Row],[L_Bn]]*TabTRADER[[#This Row],[M]])</f>
        <v>-0.99517066130554166</v>
      </c>
      <c r="BB33" s="635">
        <f ca="1">IFERROR((TabTRADER[[#This Row],[M]]-TabTRADER[[#This Row],[A]])/TabTRADER[[#This Row],[A]],0)</f>
        <v>0.33600257083119772</v>
      </c>
      <c r="BC33" s="638" t="str">
        <f ca="1">TEXT(_xlfn.XLOOKUP(TabTRADER[[#This Row],[ClickTick]],TabCalc[Ticker],TabCalc[NAfter]),"#,#0")&amp;" : "&amp;TEXT(_xlfn.XLOOKUP(TabTRADER[[#This Row],[ClickTick]],TabCalc[Ticker],TabCalc[NAfter])*(TabTRADER[[#This Row],[M]]-TabTRADER[[#This Row],[A]])*(1-Commission)*TabTRADER[[#This Row],[Scale]],"#,#0$")</f>
        <v>20,000 : 418,158$</v>
      </c>
      <c r="BD33" s="684">
        <f ca="1">_xlfn.XLOOKUP(TabTRADER[[#This Row],[ClickTick]],TabCalc[[#This Row],[Ticker]],TabCalc[[#This Row],[GL]])*(1-Commission)</f>
        <v>1182332.851182</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2.2555488902219503E-2</v>
      </c>
      <c r="BJ33" s="679">
        <f ca="1">TabTRADER[[#This Row],[L_Sn]]*TabTRADER[[#This Row],[L_Sp]]+TabTRADER[[#This Row],[SellMore]]*TabTRADER[[#This Row],[M]]</f>
        <v>246290</v>
      </c>
      <c r="BK33" s="679">
        <f ca="1">INDEX(
  INDEX(TabConsolid[], , _xlfn.XMATCH(TabTRADER[[#This Row],[ClickTick]]&amp;1, TabConsolid[#Headers])),
  MATCH(
    -TabTRADER[[#This Row],[M]],
    INDEX(TabConsolid[], , _xlfn.XMATCH(TabTRADER[[#This Row],[ClickTick]]&amp;2, TabConsolid[#Headers])),
    -1
  )
)</f>
        <v>1000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82.096666666666664</v>
      </c>
      <c r="BN33" s="687">
        <f ca="1">((_xlfn.XLOOKUP(TabTRADER[[#This Row],[ClickTick]],TabCalc[Ticker],TabCalc[NAfter])+TabTRADER[[#This Row],[L_Sn]])*(TabTRADER[[#This Row],[Agiotage]]-TabTRADER[[#This Row],[M]]))/(TabTRADER[[#This Row],[L_Sn]]*_xlfn.XLOOKUP(TabTRADER[[#This Row],[ClickTick]],TabCalc[Ticker],TabCalc[NAfter]))</f>
        <v>-4.5621111040899297E-2</v>
      </c>
      <c r="BO33" s="687">
        <f ca="1">(TabTRADER[[#This Row],[M]]-TabTRADER[[#This Row],[Agiotage]])/(TabTRADER[[#This Row],[M]]-TabTRADER[[#This Row],[A]])-1</f>
        <v>2.9569654441362343</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+1,185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-2,155$</v>
      </c>
      <c r="G34" s="225" t="str">
        <f ca="1">IFERROR(TRUNC(_xlfn.XLOOKUP(TabTRADER[[#This Row],[ClickTick]],TabCalc[Ticker],ListLastSalep),2)&amp;"x"&amp;_xlfn.XLOOKUP(TabTRADER[[#This Row],[ClickTick]],TabCalc[Ticker],ListLastSalen)&amp;"=   "&amp;TEXT(-_xlfn.XLOOKUP(TabTRADER[[#This Row],[ClickTick]],TabCalc[Ticker],ListReverseB),"#,#0")&amp;"$","")</f>
        <v>1233.56x100=   -13,431$</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12.2% = 37</v>
      </c>
      <c r="I34" s="226" t="str">
        <f ca="1">IFERROR(TRUNC(TabCalc[[#This Row],[L_S1p]],2)&amp;"x"&amp;TabCalc[[#This Row],[L_S1n]]&amp;"=   "&amp;TEXT(TabCalc[[#This Row],[ReverseB1]],"#,#0"),"")</f>
        <v>1235.33x100=   13,608</v>
      </c>
      <c r="J34" s="295">
        <f ca="1">_xlfn.XLOOKUP(TabTRADER[[#This Row],[ClickTick]],TabCalc[Ticker],ListGravity)</f>
        <v>1.2256748692290198</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0.70146614838085575</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2.1606739114578537E-3</v>
      </c>
      <c r="S34" s="683">
        <f ca="1">_xlfn.XLOOKUP(TabTRADER[[#This Row],[ClickTick]],TabCalc[Ticker],TabCalc[Rev(MinStock)])*(1-Commission)</f>
        <v>1181.9189999999455</v>
      </c>
      <c r="T34" s="782">
        <f ca="1">_xlfn.XLOOKUP(TabTRADER[[#This Row],[ClickTick]],TabCalc[Ticker],TabCalc[Agiotage])</f>
        <v>0.70146614838085575</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18,570/18,570=&gt;0.2% / 0.2%</v>
      </c>
      <c r="V34" s="739" t="str">
        <f ca="1">_xlfn.XLOOKUP(TabTRADER[[#This Row],[ClickTick]],[1]!RTData[Ticker_Symbol],[1]!RTData[Currency])</f>
        <v>USD</v>
      </c>
      <c r="W34" s="749">
        <f ca="1">_xlfn.XLOOKUP(TabTRADER[[#This Row],[ClickTick]],TabCalc[Ticker],TabCalc[M])</f>
        <v>1099.25</v>
      </c>
      <c r="X34" s="1343"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^1,463/3,298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1181.9189999999455</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1181.9189999999455</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2.1606739114578537E-3</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5.5560186294630526E-2</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-86487.871407343919</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2.440477598362515E-2</v>
      </c>
      <c r="AW34" s="324">
        <f ca="1">_xlfn.XLOOKUP(TabTRADER[[#This Row],[ClickTick]],TabCalc[Ticker],TabCalc[L_Sn])</f>
        <v>100</v>
      </c>
      <c r="AX34" s="728">
        <f ca="1">_xlfn.XLOOKUP(TabTRADER[[#This Row],[ClickTick]],TabCalc[Ticker],TabCalc[L_Sp])</f>
        <v>1233.56</v>
      </c>
      <c r="AY34" s="764">
        <f ca="1">-IFERROR((TabTRADER[[#This Row],[M]]-TabTRADER[[#This Row],[L_Sp]])/TabTRADER[[#This Row],[L_Sp]],0)</f>
        <v>0.10887998962352861</v>
      </c>
      <c r="AZ34" s="729">
        <f ca="1">TabTRADER[[#This Row],[L_Sn]]*(TabTRADER[[#This Row],[M]]-TabTRADER[[#This Row],[L_Sp]])*(1-Commission)*TabTRADER[[#This Row],[Scale]]</f>
        <v>-13396.079399999993</v>
      </c>
      <c r="BA34" s="692">
        <f ca="1">TabTRADER[[#This Row],[L_Sn]]*(TabTRADER[[#This Row],[Agiotage]]-TabTRADER[[#This Row],[M]])/(TabTRADER[[#This Row],[L_Bn]]*TabTRADER[[#This Row],[M]])</f>
        <v>-0.19987237368235053</v>
      </c>
      <c r="BB34" s="635">
        <f ca="1">IFERROR((TabTRADER[[#This Row],[M]]-TabTRADER[[#This Row],[A]])/TabTRADER[[#This Row],[A]],0)</f>
        <v>-2.6294693671469079E-2</v>
      </c>
      <c r="BC34" s="638" t="str">
        <f ca="1">TEXT(_xlfn.XLOOKUP(TabTRADER[[#This Row],[ClickTick]],TabCalc[Ticker],TabCalc[NAfter]),"#,#0")&amp;" : "&amp;TEXT(_xlfn.XLOOKUP(TabTRADER[[#This Row],[ClickTick]],TabCalc[Ticker],TabCalc[NAfter])*(TabTRADER[[#This Row],[M]]-TabTRADER[[#This Row],[A]])*(1-Commission)*TabTRADER[[#This Row],[Scale]],"#,#0$")</f>
        <v>3,000 : -88,823$</v>
      </c>
      <c r="BD34" s="684">
        <f ca="1">_xlfn.XLOOKUP(TabTRADER[[#This Row],[ClickTick]],TabCalc[[#This Row],[Ticker]],TabCalc[[#This Row],[GL]])*(1-Commission)</f>
        <v>1458876.0246259999</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AMY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56"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-11.351668183133397</v>
      </c>
      <c r="BO34" s="687">
        <f ca="1">(TabTRADER[[#This Row],[M]]-TabTRADER[[#This Row],[Agiotage]])/(TabTRADER[[#This Row],[M]]-TabTRADER[[#This Row],[A]])-1</f>
        <v>-38.006856454492883</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-5,875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-77.0%</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-164,396$</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10.328222950819674</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1.7209378846883396</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-0.43518518518518523</v>
      </c>
      <c r="S35" s="683">
        <f ca="1">_xlfn.XLOOKUP(TabTRADER[[#This Row],[ClickTick]],TabCalc[Ticker],TabCalc[Rev(MinStock)])*(1-Commission)</f>
        <v>-5859.7250000000004</v>
      </c>
      <c r="T35" s="782">
        <f ca="1">_xlfn.XLOOKUP(TabTRADER[[#This Row],[ClickTick]],TabCalc[Ticker],TabCalc[Agiotage])</f>
        <v>1.7209378846883396</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10,133/10,133=&gt;1.7% / 1.7%</v>
      </c>
      <c r="V35" s="739" t="str">
        <f ca="1">_xlfn.XLOOKUP(TabTRADER[[#This Row],[ClickTick]],[1]!RTData[Ticker_Symbol],[1]!RTData[Currency])</f>
        <v>USD</v>
      </c>
      <c r="W35" s="749">
        <f ca="1">_xlfn.XLOOKUP(TabTRADER[[#This Row],[ClickTick]],TabCalc[Ticker],TabCalc[M])</f>
        <v>3.05</v>
      </c>
      <c r="X35" s="1343"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-170/81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5859.7250000000004</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81334.349999999991</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0.67673841457297212</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0.76789180327868867</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-2.4102564102564106</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0.77049180327868871</v>
      </c>
      <c r="AP35" s="825" cm="1">
        <f t="array" aca="1" ref="AP35" ca="1">_xlfn.IFS(         TabTRADER[[#This Row],[Traps]]=MDown,TabTRADER[[#This Row],[L_Bn]]*TabTRADER[[#This Row],[M]]*(-(TabTRADER[[#This Row],[L_Bp]]+TabTRADER[[#This Row],[M]])/TabTRADER[[#This Row],[M]])*(1-Commission)*TabTRADER[[#This Row],[Scale]],                               TRUE,"")</f>
        <v>5859.7250000000013</v>
      </c>
      <c r="AQ35" s="1186" cm="1">
        <f t="array" aca="1" ref="AQ35" ca="1">_xlfn.IFS(   TabTRADER[[#This Row],[Traps]]=MUp,TabTRADER[[#This Row],[TakeGain_A]]-Commission,        TabTRADER[[#This Row],[Traps]]=MDown,(TabTRADER[[#This Row],[A]]-TabTRADER[[#This Row],[M]])/TabTRADER[[#This Row],[M]]-Commission,                              TRUE,"")</f>
        <v>2.0908699484289235</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169828.31285450002</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-2.35</v>
      </c>
      <c r="AU35" s="765" cm="1">
        <f t="array" aca="1" ref="AU35" ca="1">_xlfn.IFS(TabTRADER[[#This Row],[Traps]]=ReSaleGain,"",         TabTRADER[[#This Row],[Traps]]=MDown, (TabTRADER[[#This Row],[M]]-TabTRADER[[#This Row],[A]])/TabTRADER[[#This Row],[A]]*ComFactor,             TRUE, IFERROR((TabTRADER[[#This Row],[M]]-TabTRADER[[#This Row],[A]])/TabTRADER[[#This Row],[A]]*ComFactor,""))</f>
        <v>-0.67497889469508232</v>
      </c>
      <c r="AV35" s="762" cm="1">
        <f t="array" aca="1" ref="AV35" ca="1">_xlfn.IFS(               TabTRADER[[#This Row],[Traps]]=NoStock,(TabTRADER[[#This Row],[L_Sp]]-TabTRADER[[#This Row],[M]])/TabTRADER[[#This Row],[M]]-Commission,             TabTRADER[[#This Row],[A]]&lt;&gt;0,(TabTRADER[[#This Row],[A]]-TabTRADER[[#This Row],[M]])/TabTRADER[[#This Row],[M]]-Commission)</f>
        <v>2.0908699484289235</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-0.67673841457297212</v>
      </c>
      <c r="BC35" s="638" t="str">
        <f ca="1">TEXT(_xlfn.XLOOKUP(TabTRADER[[#This Row],[ClickTick]],TabCalc[Ticker],TabCalc[NAfter]),"#,#0")&amp;" : "&amp;TEXT(_xlfn.XLOOKUP(TabTRADER[[#This Row],[ClickTick]],TabCalc[Ticker],TabCalc[NAfter])*(TabTRADER[[#This Row],[M]]-TabTRADER[[#This Row],[A]])*(1-Commission)*TabTRADER[[#This Row],[Scale]],"#,#0$")</f>
        <v>26,667 : -169,828$</v>
      </c>
      <c r="BD35" s="684">
        <f ca="1">_xlfn.XLOOKUP(TabTRADER[[#This Row],[ClickTick]],TabCalc[[#This Row],[Ticker]],TabCalc[[#This Row],[GL]])*(1-Commission)</f>
        <v>-169828.31285450002</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0.77049180327868871</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-1.2081510990501718</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-1,500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1,092</v>
      </c>
      <c r="F36" s="226" t="str">
        <f ca="1">TRUNC(TabCalc[[#This Row],[L_B1p]],2)&amp;"x"&amp;TabCalc[[#This Row],[L_B1n]]&amp;"=   "&amp;TEXT(TabCalc[[#This Row],[ReverseS1]],"#,#0")&amp;"$"</f>
        <v>-27.53x1000=   7,190$</v>
      </c>
      <c r="G36" s="225" t="str">
        <f ca="1">IFERROR(TRUNC(_xlfn.XLOOKUP(TabTRADER[[#This Row],[ClickTick]],TabCalc[Ticker],ListLastSalep),2)&amp;"x"&amp;_xlfn.XLOOKUP(TabTRADER[[#This Row],[ClickTick]],TabCalc[Ticker],ListLastSalen)&amp;"=   "&amp;TEXT(-_xlfn.XLOOKUP(TabTRADER[[#This Row],[ClickTick]],TabCalc[Ticker],ListReverseB),"#,#0")&amp;"$","")</f>
        <v>39.3x500=   -2,290$</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1,092</v>
      </c>
      <c r="I36" s="226" t="str">
        <f ca="1">IFERROR(TRUNC(TabCalc[[#This Row],[L_S1p]],2)&amp;"x"&amp;TabCalc[[#This Row],[L_S1n]]&amp;"=   "&amp;TEXT(TabCalc[[#This Row],[ReverseB1]],"#,#0"),"")</f>
        <v>36.29x1000=   1,570</v>
      </c>
      <c r="J36" s="295">
        <f ca="1">_xlfn.XLOOKUP(TabTRADER[[#This Row],[ClickTick]],TabCalc[Ticker],ListGravity)</f>
        <v>1.3500902940388653</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34719.9</v>
      </c>
      <c r="M36" s="323">
        <f ca="1">_xlfn.XLOOKUP(TabTRADER[[#This Row],[ClickTick]],TabCalc[Ticker],TabCalc[Agiotage])</f>
        <v>0.4777762763177395</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-2.7998320268756895E-2</v>
      </c>
      <c r="S36" s="683">
        <f ca="1">_xlfn.XLOOKUP(TabTRADER[[#This Row],[ClickTick]],TabCalc[Ticker],TabCalc[Rev(MinStock)])*(1-Commission)</f>
        <v>-1496.2496099999944</v>
      </c>
      <c r="T36" s="782">
        <f ca="1">_xlfn.XLOOKUP(TabTRADER[[#This Row],[ClickTick]],TabCalc[Ticker],TabCalc[Agiotage])</f>
        <v>0.4777762763177395</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2,520/2,520=&gt;2.6% / 2.6%</v>
      </c>
      <c r="V36" s="739" t="str">
        <f ca="1">_xlfn.XLOOKUP(TabTRADER[[#This Row],[ClickTick]],[1]!RTData[Ticker_Symbol],[1]!RTData[Currency])</f>
        <v>USD</v>
      </c>
      <c r="W36" s="749">
        <f ca="1">_xlfn.XLOOKUP(TabTRADER[[#This Row],[ClickTick]],TabCalc[Ticker],TabCalc[M])</f>
        <v>34.719900000000003</v>
      </c>
      <c r="X36" s="1343"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^72/139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177" t="str" cm="1">
        <f t="array" aca="1" ref="AF36" ca="1">_xlfn.IFS(       TabTRADER[[#This Row],[Traps]]=RePurchaseGain,TEXT(TabTRADER[[#This Row],[L_Sn]],"#,#0")&amp;" x "&amp;TEXT(TabTRADER[[#This Row],[L_Sp]],"#,#0.#0"),     TabTRADER[[#This Row],[Traps]]=ReSaleGain,TEXT(TabTRADER[[#This Row],[L_Bn]],"#0,#0")&amp;" x "&amp;TEXT(TabTRADER[[#This Row],[L_Bp]],"#,#0.#0"),               TRUE,"")</f>
        <v/>
      </c>
      <c r="AG36" s="1177"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177"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1496.2496099999944</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138879.6</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-0.18690368344585936</v>
      </c>
      <c r="AK36" s="1186"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2.6204806465456296E-2</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-0.59290560569132256</v>
      </c>
      <c r="AN36" s="1281">
        <f ca="1">_xlfn.XLOOKUP(TabTRADER[[#This Row],[ClickTick]],TabCalc[Ticker],TabCalc[Up20])</f>
        <v>0</v>
      </c>
      <c r="AO36" s="1187"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2.8804806465456297E-2</v>
      </c>
      <c r="AP36" s="825" cm="1">
        <f t="array" aca="1" ref="AP36" ca="1">_xlfn.IFS(         TabTRADER[[#This Row],[Traps]]=MDown,TabTRADER[[#This Row],[L_Bn]]*TabTRADER[[#This Row],[M]]*(-(TabTRADER[[#This Row],[L_Bp]]+TabTRADER[[#This Row],[M]])/TabTRADER[[#This Row],[M]])*(1-Commission)*TabTRADER[[#This Row],[Scale]],                               TRUE,"")</f>
        <v>1496.2496099999944</v>
      </c>
      <c r="AQ36" s="1186" cm="1">
        <f t="array" aca="1" ref="AQ36" ca="1">_xlfn.IFS(   TabTRADER[[#This Row],[Traps]]=MUp,TabTRADER[[#This Row],[TakeGain_A]]-Commission,        TabTRADER[[#This Row],[Traps]]=MDown,(TabTRADER[[#This Row],[A]]-TabTRADER[[#This Row],[M]])/TabTRADER[[#This Row],[M]]-Commission,                              TRUE,"")</f>
        <v>-0.16007165170406598</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-21812.739040000004</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36" s="736"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v>
      </c>
      <c r="AU36" s="765" cm="1">
        <f t="array" aca="1" ref="AU36" ca="1">_xlfn.IFS(TabTRADER[[#This Row],[Traps]]=ReSaleGain,"",         TabTRADER[[#This Row],[Traps]]=MDown, (TabTRADER[[#This Row],[M]]-TabTRADER[[#This Row],[A]])/TabTRADER[[#This Row],[A]]*ComFactor,             TRUE, IFERROR((TabTRADER[[#This Row],[M]]-TabTRADER[[#This Row],[A]])/TabTRADER[[#This Row],[A]]*ComFactor,""))</f>
        <v>0.18641773386890012</v>
      </c>
      <c r="AV36" s="762" cm="1">
        <f t="array" aca="1" ref="AV36" ca="1">_xlfn.IFS(               TabTRADER[[#This Row],[Traps]]=NoStock,(TabTRADER[[#This Row],[L_Sp]]-TabTRADER[[#This Row],[M]])/TabTRADER[[#This Row],[M]]-Commission,             TabTRADER[[#This Row],[A]]&lt;&gt;0,(TabTRADER[[#This Row],[A]]-TabTRADER[[#This Row],[M]])/TabTRADER[[#This Row],[M]]-Commission)</f>
        <v>-0.16007165170406598</v>
      </c>
      <c r="AW36" s="324">
        <f ca="1">_xlfn.XLOOKUP(TabTRADER[[#This Row],[ClickTick]],TabCalc[Ticker],TabCalc[L_Sn])</f>
        <v>500</v>
      </c>
      <c r="AX36" s="728">
        <f ca="1">_xlfn.XLOOKUP(TabTRADER[[#This Row],[ClickTick]],TabCalc[Ticker],TabCalc[L_Sp])</f>
        <v>39.3005</v>
      </c>
      <c r="AY36" s="764">
        <f ca="1">-IFERROR((TabTRADER[[#This Row],[M]]-TabTRADER[[#This Row],[L_Sp]])/TabTRADER[[#This Row],[L_Sp]],0)</f>
        <v>0.11655322451368295</v>
      </c>
      <c r="AZ36" s="729">
        <f ca="1">TabTRADER[[#This Row],[L_Sn]]*(TabTRADER[[#This Row],[M]]-TabTRADER[[#This Row],[L_Sp]])*(1-Commission)*TabTRADER[[#This Row],[Scale]]</f>
        <v>-2284.3452199999983</v>
      </c>
      <c r="BA36" s="692">
        <f ca="1">TabTRADER[[#This Row],[L_Sn]]*(TabTRADER[[#This Row],[Agiotage]]-TabTRADER[[#This Row],[M]])/(TabTRADER[[#This Row],[L_Bn]]*TabTRADER[[#This Row],[M]])</f>
        <v>-0.3287463743048632</v>
      </c>
      <c r="BB36" s="635">
        <f ca="1">IFERROR((TabTRADER[[#This Row],[M]]-TabTRADER[[#This Row],[A]])/TabTRADER[[#This Row],[A]],0)</f>
        <v>0.18690368344585936</v>
      </c>
      <c r="BC36" s="638" t="str">
        <f ca="1">TEXT(_xlfn.XLOOKUP(TabTRADER[[#This Row],[ClickTick]],TabCalc[Ticker],TabCalc[NAfter]),"#,#0")&amp;" : "&amp;TEXT(_xlfn.XLOOKUP(TabTRADER[[#This Row],[ClickTick]],TabCalc[Ticker],TabCalc[NAfter])*(TabTRADER[[#This Row],[M]]-TabTRADER[[#This Row],[A]])*(1-Commission)*TabTRADER[[#This Row],[Scale]],"#,#0$")</f>
        <v>4,000 : 21,813$</v>
      </c>
      <c r="BD36" s="684">
        <f ca="1">_xlfn.XLOOKUP(TabTRADER[[#This Row],[ClickTick]],TabCalc[[#This Row],[Ticker]],TabCalc[[#This Row],[GL]])*(1-Commission)</f>
        <v>71450.89340999999</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2.8804806465456297E-2</v>
      </c>
      <c r="BJ36" s="679">
        <f ca="1">TabTRADER[[#This Row],[L_Sn]]*TabTRADER[[#This Row],[L_Sp]]+TabTRADER[[#This Row],[SellMore]]*TabTRADER[[#This Row],[M]]</f>
        <v>54370.15</v>
      </c>
      <c r="BK36" s="679">
        <f ca="1">INDEX(
  INDEX(TabConsolid[], , _xlfn.XMATCH(TabTRADER[[#This Row],[ClickTick]]&amp;1, TabConsolid[#Headers])),
  MATCH(
    -TabTRADER[[#This Row],[M]],
    INDEX(TabConsolid[], , _xlfn.XMATCH(TabTRADER[[#This Row],[ClickTick]]&amp;2, TabConsolid[#Headers])),
    -1
  )
)</f>
        <v>1000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36.246766666666666</v>
      </c>
      <c r="BN36" s="687">
        <f ca="1">((_xlfn.XLOOKUP(TabTRADER[[#This Row],[ClickTick]],TabCalc[Ticker],TabCalc[NAfter])+TabTRADER[[#This Row],[L_Sn]])*(TabTRADER[[#This Row],[Agiotage]]-TabTRADER[[#This Row],[M]]))/(TabTRADER[[#This Row],[L_Sn]]*_xlfn.XLOOKUP(TabTRADER[[#This Row],[ClickTick]],TabCalc[Ticker],TabCalc[NAfter]))</f>
        <v>-7.7044778378285092E-2</v>
      </c>
      <c r="BO36" s="687">
        <f ca="1">(TabTRADER[[#This Row],[M]]-TabTRADER[[#This Row],[Agiotage]])/(TabTRADER[[#This Row],[M]]-TabTRADER[[#This Row],[A]])-1</f>
        <v>5.2629629666170858</v>
      </c>
      <c r="BP36" s="1277">
        <f ca="1">_xlfn.XMATCH(TabTRADER[[#This Row],[ClickTick]]&amp;1, TabConsolid[#Headers])</f>
        <v>101</v>
      </c>
      <c r="BQ36" t="str">
        <f ca="1">IF(ABS(TabTRADER[[#This Row],[L_Bp]])&gt;=TabTRADER[[#This Row],[M]],"OK")</f>
        <v>OK</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+2,940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12.4%</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-600$</v>
      </c>
      <c r="G37" s="225" t="str">
        <f ca="1">IFERROR(TRUNC(_xlfn.XLOOKUP(TabTRADER[[#This Row],[ClickTick]],TabCalc[Ticker],ListLastSalep),2)&amp;"x"&amp;_xlfn.XLOOKUP(TabTRADER[[#This Row],[ClickTick]],TabCalc[Ticker],ListLastSalen)&amp;"=   "&amp;TEXT(-_xlfn.XLOOKUP(TabTRADER[[#This Row],[ClickTick]],TabCalc[Ticker],ListReverseB),"#,#0")&amp;"$","")</f>
        <v>5.61x2000=   630$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37" s="226" t="str">
        <f ca="1">IFERROR(TRUNC(TabCalc[[#This Row],[L_S1p]],2)&amp;"x"&amp;TabCalc[[#This Row],[L_S1n]]&amp;"=   "&amp;TEXT(TabCalc[[#This Row],[ReverseB1]],"#,#0"),"")</f>
        <v>6.93x2000=   2,010</v>
      </c>
      <c r="J37" s="295">
        <f ca="1">_xlfn.XLOOKUP(TabTRADER[[#This Row],[ClickTick]],TabCalc[Ticker],ListGravity)</f>
        <v>2.0421940928270041</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0.46411032434901783</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0.14161849710982646</v>
      </c>
      <c r="S37" s="683">
        <f ca="1">_xlfn.XLOOKUP(TabTRADER[[#This Row],[ClickTick]],TabCalc[Ticker],TabCalc[Rev(MinStock)])*(1-Commission)</f>
        <v>2932.3559999999975</v>
      </c>
      <c r="T37" s="782">
        <f ca="1">_xlfn.XLOOKUP(TabTRADER[[#This Row],[ClickTick]],TabCalc[Ticker],TabCalc[Agiotage])</f>
        <v>0.46411032434901783</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460/460=&gt;1.3% / 1.3%</v>
      </c>
      <c r="V37" s="739" t="str">
        <f ca="1">_xlfn.XLOOKUP(TabTRADER[[#This Row],[ClickTick]],[1]!RTData[Ticker_Symbol],[1]!RTData[Currency])</f>
        <v>USD</v>
      </c>
      <c r="W37" s="749">
        <f ca="1">_xlfn.XLOOKUP(TabTRADER[[#This Row],[ClickTick]],TabCalc[Ticker],TabCalc[M])</f>
        <v>5.9249999999999998</v>
      </c>
      <c r="X37" s="1343"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628.36199999999894</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2932.3559999999975</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0.14161849710982646</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5.0564556962025234E-2</v>
      </c>
      <c r="AL37" s="825" cm="1">
        <f t="array" aca="1" ref="AL37" ca="1">_xlfn.IFS(   TabTRADER[[#This Row],[Traps]]=SellMorePercentGain,                     MIN(TabTRADER[[#This Row],[L_Sn]],TabTRADER[[#This Row],[N]])*(TabTRADER[[#This Row],[M]]-TabTRADER[[#This Row],[L_Sp]])*(1-Commission)*TabTRADER[[#This Row],[Scale]],                    TRUE,"")</f>
        <v>628.36199999999894</v>
      </c>
      <c r="AM37" s="1175">
        <f ca="1">_xlfn.XLOOKUP(TabTRADER[[#This Row],[ClickTick]],TabCalc[Ticker],TabCalc[Ann%RevLB])</f>
        <v>1.1586967945349438</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0.13901849710982647</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3347.6318497109796</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-2.9%</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4,000x0.73</v>
      </c>
      <c r="AU37" s="765" cm="1">
        <f t="array" aca="1" ref="AU37" ca="1">_xlfn.IFS(TabTRADER[[#This Row],[Traps]]=ReSaleGain,"",         TabTRADER[[#This Row],[Traps]]=MDown, (TabTRADER[[#This Row],[M]]-TabTRADER[[#This Row],[A]])/TabTRADER[[#This Row],[A]]*ComFactor,             TRUE, IFERROR((TabTRADER[[#This Row],[M]]-TabTRADER[[#This Row],[A]])/TabTRADER[[#This Row],[A]]*ComFactor,""))</f>
        <v>0.14125028901734091</v>
      </c>
      <c r="AV37" s="762" cm="1">
        <f t="array" aca="1" ref="AV37" ca="1">_xlfn.IFS(               TabTRADER[[#This Row],[Traps]]=NoStock,(TabTRADER[[#This Row],[L_Sp]]-TabTRADER[[#This Row],[M]])/TabTRADER[[#This Row],[M]]-Commission,             TabTRADER[[#This Row],[A]]&lt;&gt;0,(TabTRADER[[#This Row],[A]]-TabTRADER[[#This Row],[M]])/TabTRADER[[#This Row],[M]]-Commission)</f>
        <v>-0.12665063291139231</v>
      </c>
      <c r="AW37" s="324">
        <f ca="1">_xlfn.XLOOKUP(TabTRADER[[#This Row],[ClickTick]],TabCalc[Ticker],TabCalc[L_Sn])</f>
        <v>2000</v>
      </c>
      <c r="AX37" s="728">
        <f ca="1">_xlfn.XLOOKUP(TabTRADER[[#This Row],[ClickTick]],TabCalc[Ticker],TabCalc[L_Sp])</f>
        <v>5.61</v>
      </c>
      <c r="AY37" s="764">
        <f ca="1">-IFERROR((TabTRADER[[#This Row],[M]]-TabTRADER[[#This Row],[L_Sp]])/TabTRADER[[#This Row],[L_Sp]],0)</f>
        <v>-5.6149732620320761E-2</v>
      </c>
      <c r="AZ37" s="729">
        <f ca="1">TabTRADER[[#This Row],[L_Sn]]*(TabTRADER[[#This Row],[M]]-TabTRADER[[#This Row],[L_Sp]])*(1-Commission)*TabTRADER[[#This Row],[Scale]]</f>
        <v>628.36199999999894</v>
      </c>
      <c r="BA37" s="692">
        <f ca="1">TabTRADER[[#This Row],[L_Sn]]*(TabTRADER[[#This Row],[Agiotage]]-TabTRADER[[#This Row],[M]])/(TabTRADER[[#This Row],[L_Bn]]*TabTRADER[[#This Row],[M]])</f>
        <v>-0.46083457178489301</v>
      </c>
      <c r="BB37" s="635">
        <f ca="1">IFERROR((TabTRADER[[#This Row],[M]]-TabTRADER[[#This Row],[A]])/TabTRADER[[#This Row],[A]],0)</f>
        <v>0.14161849710982646</v>
      </c>
      <c r="BC37" s="638" t="str">
        <f ca="1">TEXT(_xlfn.XLOOKUP(TabTRADER[[#This Row],[ClickTick]],TabCalc[Ticker],TabCalc[NAfter]),"#,#0")&amp;" : "&amp;TEXT(_xlfn.XLOOKUP(TabTRADER[[#This Row],[ClickTick]],TabCalc[Ticker],TabCalc[NAfter])*(TabTRADER[[#This Row],[M]]-TabTRADER[[#This Row],[A]])*(1-Commission)*TabTRADER[[#This Row],[Scale]],"#,#0$")</f>
        <v>4,000 : 2,932$</v>
      </c>
      <c r="BD37" s="684">
        <f ca="1">_xlfn.XLOOKUP(TabTRADER[[#This Row],[ClickTick]],TabCalc[[#This Row],[Ticker]],TabCalc[[#This Row],[GL]])*(1-Commission)</f>
        <v>4216.3888120000265</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5.3164556962025232E-2</v>
      </c>
      <c r="BJ37" s="679">
        <f ca="1">TabTRADER[[#This Row],[L_Sn]]*TabTRADER[[#This Row],[L_Sp]]+TabTRADER[[#This Row],[SellMore]]*TabTRADER[[#This Row],[M]]</f>
        <v>34920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5.82</v>
      </c>
      <c r="BN37" s="687">
        <f ca="1">((_xlfn.XLOOKUP(TabTRADER[[#This Row],[ClickTick]],TabCalc[Ticker],TabCalc[NAfter])+TabTRADER[[#This Row],[L_Sn]])*(TabTRADER[[#This Row],[Agiotage]]-TabTRADER[[#This Row],[M]]))/(TabTRADER[[#This Row],[L_Sn]]*_xlfn.XLOOKUP(TabTRADER[[#This Row],[ClickTick]],TabCalc[Ticker],TabCalc[NAfter]))</f>
        <v>-4.0956672567382365E-3</v>
      </c>
      <c r="BO37" s="687">
        <f ca="1">(TabTRADER[[#This Row],[M]]-TabTRADER[[#This Row],[Agiotage]])/(TabTRADER[[#This Row],[M]]-TabTRADER[[#This Row],[A]])-1</f>
        <v>6.4297818716339954</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+625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11,129$</v>
      </c>
      <c r="G38" s="225" t="str">
        <f ca="1">IFERROR(TRUNC(_xlfn.XLOOKUP(TabTRADER[[#This Row],[ClickTick]],TabCalc[Ticker],ListLastSalep),2)&amp;"x"&amp;_xlfn.XLOOKUP(TabTRADER[[#This Row],[ClickTick]],TabCalc[Ticker],ListLastSalen)&amp;"=   "&amp;TEXT(-_xlfn.XLOOKUP(TabTRADER[[#This Row],[ClickTick]],TabCalc[Ticker],ListReverseB),"#,#0")&amp;"$","")</f>
        <v>9.07x2500=   -9,250$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68.9% = 1,351</v>
      </c>
      <c r="I38" s="226" t="str">
        <f ca="1">IFERROR(TRUNC(TabCalc[[#This Row],[L_S1p]],2)&amp;"x"&amp;TabCalc[[#This Row],[L_S1n]]&amp;"=   "&amp;TEXT(TabCalc[[#This Row],[ReverseB1]],"#,#0"),"")</f>
        <v>7.4x2500=   5,075</v>
      </c>
      <c r="J38" s="295">
        <f ca="1">_xlfn.XLOOKUP(TabTRADER[[#This Row],[ClickTick]],TabCalc[Ticker],ListGravity)</f>
        <v>1.2352799865919291</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0.54843184414934687</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4.8808593750000046E-2</v>
      </c>
      <c r="S38" s="683">
        <f ca="1">_xlfn.XLOOKUP(TabTRADER[[#This Row],[ClickTick]],TabCalc[Ticker],TabCalc[Rev(MinStock)])*(1-Commission)</f>
        <v>623.12565000000052</v>
      </c>
      <c r="T38" s="782">
        <f ca="1">_xlfn.XLOOKUP(TabTRADER[[#This Row],[ClickTick]],TabCalc[Ticker],TabCalc[Agiotage])</f>
        <v>0.54843184414934687</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11,696/11,696=&gt;0.9% / 0.9%</v>
      </c>
      <c r="V38" s="739" t="str">
        <f ca="1">_xlfn.XLOOKUP(TabTRADER[[#This Row],[ClickTick]],[1]!RTData[Ticker_Symbol],[1]!RTData[Currency])</f>
        <v>USD</v>
      </c>
      <c r="W38" s="749">
        <f ca="1">_xlfn.XLOOKUP(TabTRADER[[#This Row],[ClickTick]],TabCalc[Ticker],TabCalc[M])</f>
        <v>5.3699000000000003</v>
      </c>
      <c r="X38" s="1343"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-14/242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9226.199349999999</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9226.199349999999</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0.40794928335170894</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0.13015625000000011</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-15946.936549333312</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-6.1897638264679318E-2</v>
      </c>
      <c r="AV38" s="762" cm="1">
        <f t="array" aca="1" ref="AV38" ca="1">_xlfn.IFS(               TabTRADER[[#This Row],[Traps]]=NoStock,(TabTRADER[[#This Row],[L_Sp]]-TabTRADER[[#This Row],[M]])/TabTRADER[[#This Row],[M]]-Commission,             TabTRADER[[#This Row],[A]]&lt;&gt;0,(TabTRADER[[#This Row],[A]]-TabTRADER[[#This Row],[M]])/TabTRADER[[#This Row],[M]]-Commission)</f>
        <v>6.3565133084070025E-2</v>
      </c>
      <c r="AW38" s="324">
        <f ca="1">_xlfn.XLOOKUP(TabTRADER[[#This Row],[ClickTick]],TabCalc[Ticker],TabCalc[L_Sn])</f>
        <v>2500</v>
      </c>
      <c r="AX38" s="728">
        <f ca="1">_xlfn.XLOOKUP(TabTRADER[[#This Row],[ClickTick]],TabCalc[Ticker],TabCalc[L_Sp])</f>
        <v>9.07</v>
      </c>
      <c r="AY38" s="764">
        <f ca="1">-IFERROR((TabTRADER[[#This Row],[M]]-TabTRADER[[#This Row],[L_Sp]])/TabTRADER[[#This Row],[L_Sp]],0)</f>
        <v>0.40794928335170894</v>
      </c>
      <c r="AZ38" s="729">
        <f ca="1">TabTRADER[[#This Row],[L_Sn]]*(TabTRADER[[#This Row],[M]]-TabTRADER[[#This Row],[L_Sp]])*(1-Commission)*TabTRADER[[#This Row],[Scale]]</f>
        <v>-9226.199349999999</v>
      </c>
      <c r="BA38" s="692">
        <f ca="1">TabTRADER[[#This Row],[L_Sn]]*(TabTRADER[[#This Row],[Agiotage]]-TabTRADER[[#This Row],[M]])/(TabTRADER[[#This Row],[L_Bn]]*TabTRADER[[#This Row],[M]])</f>
        <v>-0.89786926308695758</v>
      </c>
      <c r="BB38" s="635">
        <f ca="1">IFERROR((TabTRADER[[#This Row],[M]]-TabTRADER[[#This Row],[A]])/TabTRADER[[#This Row],[A]],0)</f>
        <v>-6.2058991642950992E-2</v>
      </c>
      <c r="BC38" s="638" t="str">
        <f ca="1">TEXT(_xlfn.XLOOKUP(TabTRADER[[#This Row],[ClickTick]],TabCalc[Ticker],TabCalc[NAfter]),"#,#0")&amp;" : "&amp;TEXT(_xlfn.XLOOKUP(TabTRADER[[#This Row],[ClickTick]],TabCalc[Ticker],TabCalc[NAfter])*(TabTRADER[[#This Row],[M]]-TabTRADER[[#This Row],[A]])*(1-Commission)*TabTRADER[[#This Row],[Scale]],"#,#0$")</f>
        <v>45,000 : -15,947$</v>
      </c>
      <c r="BD38" s="684">
        <f ca="1">_xlfn.XLOOKUP(TabTRADER[[#This Row],[ClickTick]],TabCalc[[#This Row],[Ticker]],TabCalc[[#This Row],[GL]])*(1-Commission)</f>
        <v>-13601.55377399998</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-2.0357309991369428E-3</v>
      </c>
      <c r="BO38" s="687">
        <f ca="1">(TabTRADER[[#This Row],[M]]-TabTRADER[[#This Row],[Agiotage]])/(TabTRADER[[#This Row],[M]]-TabTRADER[[#This Row],[A]])-1</f>
        <v>-14.570127062936857</v>
      </c>
      <c r="BP38" s="1277">
        <f ca="1">_xlfn.XMATCH(TabTRADER[[#This Row],[ClickTick]]&amp;1, TabConsolid[#Headers])</f>
        <v>107</v>
      </c>
      <c r="BQ38" t="b">
        <f ca="1">IF(ABS(TabTRADER[[#This Row],[L_Bp]])&gt;=TabTRADER[[#This Row],[M]],"OK")</f>
        <v>0</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-3,216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-81.1%</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-571$</v>
      </c>
      <c r="G39" s="225" t="str">
        <f ca="1">IFERROR(TRUNC(_xlfn.XLOOKUP(TabTRADER[[#This Row],[ClickTick]],TabCalc[Ticker],ListLastSalep),2)&amp;"x"&amp;_xlfn.XLOOKUP(TabTRADER[[#This Row],[ClickTick]],TabCalc[Ticker],ListLastSalen)&amp;"=   "&amp;TEXT(-_xlfn.XLOOKUP(TabTRADER[[#This Row],[ClickTick]],TabCalc[Ticker],ListReverseB),"#,#0")&amp;"$","")</f>
        <v>1.54x3006=   -2,645$</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133.3% = 5,682</v>
      </c>
      <c r="I39" s="226" t="str">
        <f ca="1">IFERROR(TRUNC(TabCalc[[#This Row],[L_S1p]],2)&amp;"x"&amp;TabCalc[[#This Row],[L_S1n]]&amp;"=   "&amp;TEXT(TabCalc[[#This Row],[ReverseB1]],"#,#0"),"")</f>
        <v>1.39x3006=   2,194</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4620</v>
      </c>
      <c r="M39" s="323">
        <f ca="1">_xlfn.XLOOKUP(TabTRADER[[#This Row],[ClickTick]],TabCalc[Ticker],TabCalc[Agiotage])</f>
        <v>0.20576201264667096</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-0.4479297365119197</v>
      </c>
      <c r="S39" s="683">
        <f ca="1">_xlfn.XLOOKUP(TabTRADER[[#This Row],[ClickTick]],TabCalc[Ticker],TabCalc[Rev(MinStock)])*(1-Commission)</f>
        <v>-3207.8508461999995</v>
      </c>
      <c r="T39" s="782">
        <f ca="1">_xlfn.XLOOKUP(TabTRADER[[#This Row],[ClickTick]],TabCalc[Ticker],TabCalc[Agiotage])</f>
        <v>0.20576201264667096</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93/93=&gt;-3.2% / -3.2%</v>
      </c>
      <c r="V39" s="739" t="str">
        <f ca="1">_xlfn.XLOOKUP(TabTRADER[[#This Row],[ClickTick]],[1]!RTData[Ticker_Symbol],[1]!RTData[Currency])</f>
        <v>USD</v>
      </c>
      <c r="W39" s="749">
        <f ca="1">_xlfn.XLOOKUP(TabTRADER[[#This Row],[ClickTick]],TabCalc[Ticker],TabCalc[M])</f>
        <v>0.66</v>
      </c>
      <c r="X39" s="1343"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3207.8508461999995</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6600</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0.38106046137141131</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0.80876363636363624</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-0.5579747582847443</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0.81136363636363629</v>
      </c>
      <c r="AP39" s="825" cm="1">
        <f t="array" aca="1" ref="AP39" ca="1">_xlfn.IFS(         TabTRADER[[#This Row],[Traps]]=MDown,TabTRADER[[#This Row],[L_Bn]]*TabTRADER[[#This Row],[M]]*(-(TabTRADER[[#This Row],[L_Bp]]+TabTRADER[[#This Row],[M]])/TabTRADER[[#This Row],[M]])*(1-Commission)*TabTRADER[[#This Row],[Scale]],                               TRUE,"")</f>
        <v>3207.8508461999995</v>
      </c>
      <c r="AQ39" s="1186" cm="1">
        <f t="array" aca="1" ref="AQ39" ca="1">_xlfn.IFS(   TabTRADER[[#This Row],[Traps]]=MUp,TabTRADER[[#This Row],[TakeGain_A]]-Commission,        TabTRADER[[#This Row],[Traps]]=MDown,(TabTRADER[[#This Row],[A]]-TabTRADER[[#This Row],[M]])/TabTRADER[[#This Row],[M]]-Commission,                              TRUE,"")</f>
        <v>0.61306669696969673</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4052.8353594799992</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-0.53</v>
      </c>
      <c r="AU39" s="765" cm="1">
        <f t="array" aca="1" ref="AU39" ca="1">_xlfn.IFS(TabTRADER[[#This Row],[Traps]]=ReSaleGain,"",         TabTRADER[[#This Row],[Traps]]=MDown, (TabTRADER[[#This Row],[M]]-TabTRADER[[#This Row],[A]])/TabTRADER[[#This Row],[A]]*ComFactor,             TRUE, IFERROR((TabTRADER[[#This Row],[M]]-TabTRADER[[#This Row],[A]])/TabTRADER[[#This Row],[A]]*ComFactor,""))</f>
        <v>-0.3800697041718456</v>
      </c>
      <c r="AV39" s="762" cm="1">
        <f t="array" aca="1" ref="AV39" ca="1">_xlfn.IFS(               TabTRADER[[#This Row],[Traps]]=NoStock,(TabTRADER[[#This Row],[L_Sp]]-TabTRADER[[#This Row],[M]])/TabTRADER[[#This Row],[M]]-Commission,             TabTRADER[[#This Row],[A]]&lt;&gt;0,(TabTRADER[[#This Row],[A]]-TabTRADER[[#This Row],[M]])/TabTRADER[[#This Row],[M]]-Commission)</f>
        <v>0.61306669696969673</v>
      </c>
      <c r="AW39" s="324">
        <f ca="1">_xlfn.XLOOKUP(TabTRADER[[#This Row],[ClickTick]],TabCalc[Ticker],TabCalc[L_Sn])</f>
        <v>3006</v>
      </c>
      <c r="AX39" s="728">
        <f ca="1">_xlfn.XLOOKUP(TabTRADER[[#This Row],[ClickTick]],TabCalc[Ticker],TabCalc[L_Sp])</f>
        <v>1.54</v>
      </c>
      <c r="AY39" s="764">
        <f ca="1">-IFERROR((TabTRADER[[#This Row],[M]]-TabTRADER[[#This Row],[L_Sp]])/TabTRADER[[#This Row],[L_Sp]],0)</f>
        <v>0.5714285714285714</v>
      </c>
      <c r="AZ39" s="729">
        <f ca="1">TabTRADER[[#This Row],[L_Sn]]*(TabTRADER[[#This Row],[M]]-TabTRADER[[#This Row],[L_Sp]])*(1-Commission)*TabTRADER[[#This Row],[Scale]]</f>
        <v>-2638.4022720000003</v>
      </c>
      <c r="BA39" s="692">
        <f ca="1">TabTRADER[[#This Row],[L_Sn]]*(TabTRADER[[#This Row],[Agiotage]]-TabTRADER[[#This Row],[M]])/(TabTRADER[[#This Row],[L_Bn]]*TabTRADER[[#This Row],[M]])</f>
        <v>-0.34446346330036309</v>
      </c>
      <c r="BB39" s="635">
        <f ca="1">IFERROR((TabTRADER[[#This Row],[M]]-TabTRADER[[#This Row],[A]])/TabTRADER[[#This Row],[A]],0)</f>
        <v>-0.38106046137141131</v>
      </c>
      <c r="BC39" s="638" t="str">
        <f ca="1">TEXT(_xlfn.XLOOKUP(TabTRADER[[#This Row],[ClickTick]],TabCalc[Ticker],TabCalc[NAfter]),"#,#0")&amp;" : "&amp;TEXT(_xlfn.XLOOKUP(TabTRADER[[#This Row],[ClickTick]],TabCalc[Ticker],TabCalc[NAfter])*(TabTRADER[[#This Row],[M]]-TabTRADER[[#This Row],[A]])*(1-Commission)*TabTRADER[[#This Row],[Scale]],"#,#0$")</f>
        <v>10,000 : -4,053$</v>
      </c>
      <c r="BD39" s="684">
        <f ca="1">_xlfn.XLOOKUP(TabTRADER[[#This Row],[ClickTick]],TabCalc[[#This Row],[Ticker]],TabCalc[[#This Row],[GL]])*(1-Commission)</f>
        <v>-7889.5766281999959</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0.81136363636363629</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-1.9653424030330666E-4</v>
      </c>
      <c r="BO39" s="687">
        <f ca="1">(TabTRADER[[#This Row],[M]]-TabTRADER[[#This Row],[Agiotage]])/(TabTRADER[[#This Row],[M]]-TabTRADER[[#This Row],[A]])-1</f>
        <v>-2.1178765688728598</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+6,980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716/1,000=25,294</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2,632</v>
      </c>
      <c r="F40" s="226" t="str">
        <f ca="1">TRUNC(TabCalc[[#This Row],[L_B1p]],2)&amp;"x"&amp;TabCalc[[#This Row],[L_B1n]]&amp;"=   "&amp;TEXT(TabCalc[[#This Row],[ReverseS1]],"#,#0")&amp;"$"</f>
        <v>-28.54x2000=   6,765$</v>
      </c>
      <c r="G40" s="225" t="str">
        <f ca="1">IFERROR(TRUNC(_xlfn.XLOOKUP(TabTRADER[[#This Row],[ClickTick]],TabCalc[Ticker],ListLastSalep),2)&amp;"x"&amp;_xlfn.XLOOKUP(TabTRADER[[#This Row],[ClickTick]],TabCalc[Ticker],ListLastSalen)&amp;"=   "&amp;TEXT(-_xlfn.XLOOKUP(TabTRADER[[#This Row],[ClickTick]],TabCalc[Ticker],ListReverseB),"#,#0")&amp;"$","")</f>
        <v>37.21x2000=   -3,800$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2,632</v>
      </c>
      <c r="I40" s="226" t="str">
        <f ca="1">IFERROR(TRUNC(TabCalc[[#This Row],[L_S1p]],2)&amp;"x"&amp;TabCalc[[#This Row],[L_S1n]]&amp;"=   "&amp;TEXT(TabCalc[[#This Row],[ReverseB1]],"#,#0"),"")</f>
        <v>29.92x2000=   -10,780</v>
      </c>
      <c r="J40" s="295">
        <f ca="1">_xlfn.XLOOKUP(TabTRADER[[#This Row],[ClickTick]],TabCalc[Ticker],ListGravity)</f>
        <v>1.08562248654772</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0.80964531679843854</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0.24638192728556316</v>
      </c>
      <c r="S40" s="683">
        <f ca="1">_xlfn.XLOOKUP(TabTRADER[[#This Row],[ClickTick]],TabCalc[Ticker],TabCalc[Rev(MinStock)])*(1-Commission)</f>
        <v>6961.8520000000035</v>
      </c>
      <c r="T40" s="782">
        <f ca="1">_xlfn.XLOOKUP(TabTRADER[[#This Row],[ClickTick]],TabCalc[Ticker],TabCalc[Agiotage])</f>
        <v>0.80964531679843854</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-60/-60=&gt;-2.2% / -2.2%</v>
      </c>
      <c r="V40" s="739" t="str">
        <f ca="1">_xlfn.XLOOKUP(TabTRADER[[#This Row],[ClickTick]],[1]!RTData[Ticker_Symbol],[1]!RTData[Currency])</f>
        <v>USD</v>
      </c>
      <c r="W40" s="749">
        <f ca="1">_xlfn.XLOOKUP(TabTRADER[[#This Row],[ClickTick]],TabCalc[Ticker],TabCalc[M])</f>
        <v>35.31</v>
      </c>
      <c r="X40" s="1343"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^145/35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177" t="str" cm="1">
        <f t="array" aca="1" ref="AF40" ca="1">_xlfn.IFS(       TabTRADER[[#This Row],[Traps]]=RePurchaseGain,TEXT(TabTRADER[[#This Row],[L_Sn]],"#,#0")&amp;" x "&amp;TEXT(TabTRADER[[#This Row],[L_Sp]],"#,#0.#0"),     TabTRADER[[#This Row],[Traps]]=ReSaleGain,TEXT(TabTRADER[[#This Row],[L_Bn]],"#0,#0")&amp;" x "&amp;TEXT(TabTRADER[[#This Row],[L_Bp]],"#,#0.#0"),               TRUE,"")</f>
        <v>2,000 x 37.21</v>
      </c>
      <c r="AG40" s="1177"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3790.1199999999972</v>
      </c>
      <c r="AH40" s="1177"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3790.1199999999972</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5.1061542596076287E-2</v>
      </c>
      <c r="AK40" s="1186"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25" t="str" cm="1">
        <f t="array" aca="1" ref="AL40" ca="1">_xlfn.IFS(   TabTRADER[[#This Row],[Traps]]=SellMorePercentGain,                     MIN(TabTRADER[[#This Row],[L_Sn]],TabTRADER[[#This Row],[N]])*(TabTRADER[[#This Row],[M]]-TabTRADER[[#This Row],[L_Sp]])*(1-Commission)*TabTRADER[[#This Row],[Scale]],                    TRUE,"")</f>
        <v/>
      </c>
      <c r="AM40" s="1175">
        <f ca="1">_xlfn.XLOOKUP(TabTRADER[[#This Row],[ClickTick]],TabCalc[Ticker],TabCalc[Ann%RevLB])</f>
        <v>29.565831274267577</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25" t="str" cm="1">
        <f t="array" aca="1" ref="AP40" ca="1">_xlfn.IFS(         TabTRADER[[#This Row],[Traps]]=MDown,TabTRADER[[#This Row],[L_Bn]]*TabTRADER[[#This Row],[M]]*(-(TabTRADER[[#This Row],[L_Bp]]+TabTRADER[[#This Row],[M]])/TabTRADER[[#This Row],[M]])*(1-Commission)*TabTRADER[[#This Row],[Scale]],                               TRUE,"")</f>
        <v/>
      </c>
      <c r="AQ40" s="1186" t="str" cm="1">
        <f t="array" aca="1" ref="AQ40" ca="1">_xlfn.IFS(   TabTRADER[[#This Row],[Traps]]=MUp,TabTRADER[[#This Row],[TakeGain_A]]-Commission,        TabTRADER[[#This Row],[Traps]]=MDown,(TabTRADER[[#This Row],[A]]-TabTRADER[[#This Row],[M]])/TabTRADER[[#This Row],[M]]-Commission,                              TRUE,"")</f>
        <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6818.7284246666659</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65" cm="1">
        <f t="array" aca="1" ref="AU40" ca="1">_xlfn.IFS(TabTRADER[[#This Row],[Traps]]=ReSaleGain,"",         TabTRADER[[#This Row],[Traps]]=MDown, (TabTRADER[[#This Row],[M]]-TabTRADER[[#This Row],[A]])/TabTRADER[[#This Row],[A]]*ComFactor,             TRUE, IFERROR((TabTRADER[[#This Row],[M]]-TabTRADER[[#This Row],[A]])/TabTRADER[[#This Row],[A]]*ComFactor,""))</f>
        <v>0.23947632791617088</v>
      </c>
      <c r="AV40" s="762" cm="1">
        <f t="array" aca="1" ref="AV40" ca="1">_xlfn.IFS(               TabTRADER[[#This Row],[Traps]]=NoStock,(TabTRADER[[#This Row],[L_Sp]]-TabTRADER[[#This Row],[M]])/TabTRADER[[#This Row],[M]]-Commission,             TabTRADER[[#This Row],[A]]&lt;&gt;0,(TabTRADER[[#This Row],[A]]-TabTRADER[[#This Row],[M]])/TabTRADER[[#This Row],[M]]-Commission)</f>
        <v>-0.19621380156707255</v>
      </c>
      <c r="AW40" s="324">
        <f ca="1">_xlfn.XLOOKUP(TabTRADER[[#This Row],[ClickTick]],TabCalc[Ticker],TabCalc[L_Sn])</f>
        <v>2000</v>
      </c>
      <c r="AX40" s="728">
        <f ca="1">_xlfn.XLOOKUP(TabTRADER[[#This Row],[ClickTick]],TabCalc[Ticker],TabCalc[L_Sp])</f>
        <v>37.21</v>
      </c>
      <c r="AY40" s="764">
        <f ca="1">-IFERROR((TabTRADER[[#This Row],[M]]-TabTRADER[[#This Row],[L_Sp]])/TabTRADER[[#This Row],[L_Sp]],0)</f>
        <v>5.1061542596076287E-2</v>
      </c>
      <c r="AZ40" s="729">
        <f ca="1">TabTRADER[[#This Row],[L_Sn]]*(TabTRADER[[#This Row],[M]]-TabTRADER[[#This Row],[L_Sp]])*(1-Commission)*TabTRADER[[#This Row],[Scale]]</f>
        <v>-3790.1199999999972</v>
      </c>
      <c r="BA40" s="692">
        <f ca="1">TabTRADER[[#This Row],[L_Sn]]*(TabTRADER[[#This Row],[Agiotage]]-TabTRADER[[#This Row],[M]])/(TabTRADER[[#This Row],[L_Bn]]*TabTRADER[[#This Row],[M]])</f>
        <v>-1.9541407353838325</v>
      </c>
      <c r="BB40" s="635">
        <f ca="1">IFERROR((TabTRADER[[#This Row],[M]]-TabTRADER[[#This Row],[A]])/TabTRADER[[#This Row],[A]],0)</f>
        <v>0.24010058944873761</v>
      </c>
      <c r="BC40" s="638" t="str">
        <f ca="1">TEXT(_xlfn.XLOOKUP(TabTRADER[[#This Row],[ClickTick]],TabCalc[Ticker],TabCalc[NAfter]),"#,#0")&amp;" : "&amp;TEXT(_xlfn.XLOOKUP(TabTRADER[[#This Row],[ClickTick]],TabCalc[Ticker],TabCalc[NAfter])*(TabTRADER[[#This Row],[M]]-TabTRADER[[#This Row],[A]])*(1-Commission)*TabTRADER[[#This Row],[Scale]],"#,#0$")</f>
        <v>1,000 : 6,819$</v>
      </c>
      <c r="BD40" s="684">
        <f ca="1">_xlfn.XLOOKUP(TabTRADER[[#This Row],[ClickTick]],TabCalc[[#This Row],[Ticker]],TabCalc[[#This Row],[GL]])*(1-Commission)</f>
        <v>145008.21582800013</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79">
        <f ca="1">TabTRADER[[#This Row],[L_Sn]]*TabTRADER[[#This Row],[L_Sp]]+TabTRADER[[#This Row],[SellMore]]*TabTRADER[[#This Row],[M]]</f>
        <v>145040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36.26</v>
      </c>
      <c r="BN40" s="687">
        <f ca="1">((_xlfn.XLOOKUP(TabTRADER[[#This Row],[ClickTick]],TabCalc[Ticker],TabCalc[NAfter])+TabTRADER[[#This Row],[L_Sn]])*(TabTRADER[[#This Row],[Agiotage]]-TabTRADER[[#This Row],[M]]))/(TabTRADER[[#This Row],[L_Sn]]*_xlfn.XLOOKUP(TabTRADER[[#This Row],[ClickTick]],TabCalc[Ticker],TabCalc[NAfter]))</f>
        <v>-5.175053202480235E-2</v>
      </c>
      <c r="BO40" s="687">
        <f ca="1">(TabTRADER[[#This Row],[M]]-TabTRADER[[#This Row],[Agiotage]])/(TabTRADER[[#This Row],[M]]-TabTRADER[[#This Row],[A]])-1</f>
        <v>4.0464913130350117</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+727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33.9%</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684$</v>
      </c>
      <c r="G41" s="225" t="str">
        <f ca="1">IFERROR(TRUNC(_xlfn.XLOOKUP(TabTRADER[[#This Row],[ClickTick]],TabCalc[Ticker],ListLastSalep),2)&amp;"x"&amp;_xlfn.XLOOKUP(TabTRADER[[#This Row],[ClickTick]],TabCalc[Ticker],ListLastSalen)&amp;"=   "&amp;TEXT(-_xlfn.XLOOKUP(TabTRADER[[#This Row],[ClickTick]],TabCalc[Ticker],ListReverseB),"#,#0")&amp;"$","")</f>
        <v>33.36x3200=   30,560$</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41" s="226" t="str">
        <f ca="1">IFERROR(TRUNC(TabCalc[[#This Row],[L_S1p]],2)&amp;"x"&amp;TabCalc[[#This Row],[L_S1n]]&amp;"=   "&amp;TEXT(TabCalc[[#This Row],[ReverseB1]],"#,#0"),"")</f>
        <v>32.24x1500=   -16,005</v>
      </c>
      <c r="J41" s="295">
        <f ca="1">_xlfn.XLOOKUP(TabTRADER[[#This Row],[ClickTick]],TabCalc[Ticker],ListGravity)</f>
        <v>1.0428119319505942</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4.4524727823072796E-3</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0.51251321818822682</v>
      </c>
      <c r="S41" s="683">
        <f ca="1">_xlfn.XLOOKUP(TabTRADER[[#This Row],[ClickTick]],TabCalc[Ticker],TabCalc[Rev(MinStock)])*(1-Commission)</f>
        <v>725.10979999999972</v>
      </c>
      <c r="T41" s="782">
        <f ca="1">_xlfn.XLOOKUP(TabTRADER[[#This Row],[ClickTick]],TabCalc[Ticker],TabCalc[Agiotage])</f>
        <v>4.4524727823072796E-3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-10/-10=&gt;-0.4% / -0.4%</v>
      </c>
      <c r="V41" s="739" t="str">
        <f ca="1">_xlfn.XLOOKUP(TabTRADER[[#This Row],[ClickTick]],[1]!RTData[Ticker_Symbol],[1]!RTData[Currency])</f>
        <v>EUR</v>
      </c>
      <c r="W41" s="749">
        <f ca="1">_xlfn.XLOOKUP(TabTRADER[[#This Row],[ClickTick]],TabCalc[Ticker],TabCalc[M])</f>
        <v>42.91</v>
      </c>
      <c r="X41" s="1343"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476.25849999999986</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725.10979999999972</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0.51251321818822682</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0.21995884409228614</v>
      </c>
      <c r="AL41" s="825" cm="1">
        <f t="array" aca="1" ref="AL41" ca="1">_xlfn.IFS(   TabTRADER[[#This Row],[Traps]]=SellMorePercentGain,                     MIN(TabTRADER[[#This Row],[L_Sn]],TabTRADER[[#This Row],[N]])*(TabTRADER[[#This Row],[M]]-TabTRADER[[#This Row],[L_Sp]])*(1-Commission)*TabTRADER[[#This Row],[Scale]],                    TRUE,"")</f>
        <v>476.25849999999986</v>
      </c>
      <c r="AM41" s="1192">
        <f ca="1">_xlfn.XLOOKUP(TabTRADER[[#This Row],[ClickTick]],TabCalc[Ticker],TabCalc[Ann%RevLB])</f>
        <v>0.70153900588502538</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0.50991321818822677</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1096.7381571378212</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50x14.54</v>
      </c>
      <c r="AU41" s="765" cm="1">
        <f t="array" aca="1" ref="AU41" ca="1">_xlfn.IFS(TabTRADER[[#This Row],[Traps]]=ReSaleGain,"",         TabTRADER[[#This Row],[Traps]]=MDown, (TabTRADER[[#This Row],[M]]-TabTRADER[[#This Row],[A]])/TabTRADER[[#This Row],[A]]*ComFactor,             TRUE, IFERROR((TabTRADER[[#This Row],[M]]-TabTRADER[[#This Row],[A]])/TabTRADER[[#This Row],[A]]*ComFactor,""))</f>
        <v>0.5111806838209374</v>
      </c>
      <c r="AV41" s="762" cm="1">
        <f t="array" aca="1" ref="AV41" ca="1">_xlfn.IFS(               TabTRADER[[#This Row],[Traps]]=NoStock,(TabTRADER[[#This Row],[L_Sp]]-TabTRADER[[#This Row],[M]])/TabTRADER[[#This Row],[M]]-Commission,             TabTRADER[[#This Row],[A]]&lt;&gt;0,(TabTRADER[[#This Row],[A]]-TabTRADER[[#This Row],[M]])/TabTRADER[[#This Row],[M]]-Commission)</f>
        <v>-0.34144875320438117</v>
      </c>
      <c r="AW41" s="324">
        <f ca="1">_xlfn.XLOOKUP(TabTRADER[[#This Row],[ClickTick]],TabCalc[Ticker],TabCalc[L_Sn])</f>
        <v>3200</v>
      </c>
      <c r="AX41" s="728">
        <f ca="1">_xlfn.XLOOKUP(TabTRADER[[#This Row],[ClickTick]],TabCalc[Ticker],TabCalc[L_Sp])</f>
        <v>33.36</v>
      </c>
      <c r="AY41" s="764">
        <f ca="1">-IFERROR((TabTRADER[[#This Row],[M]]-TabTRADER[[#This Row],[L_Sp]])/TabTRADER[[#This Row],[L_Sp]],0)</f>
        <v>-0.2862709832134292</v>
      </c>
      <c r="AZ41" s="729">
        <f ca="1">TabTRADER[[#This Row],[L_Sn]]*(TabTRADER[[#This Row],[M]]-TabTRADER[[#This Row],[L_Sp]])*(1-Commission)*TabTRADER[[#This Row],[Scale]]</f>
        <v>30480.543999999991</v>
      </c>
      <c r="BA41" s="692">
        <f ca="1">TabTRADER[[#This Row],[L_Sn]]*(TabTRADER[[#This Row],[Agiotage]]-TabTRADER[[#This Row],[M]])/(TabTRADER[[#This Row],[L_Bn]]*TabTRADER[[#This Row],[M]])</f>
        <v>-0.79991698955428003</v>
      </c>
      <c r="BB41" s="635">
        <f ca="1">IFERROR((TabTRADER[[#This Row],[M]]-TabTRADER[[#This Row],[A]])/TabTRADER[[#This Row],[A]],0)</f>
        <v>0.51251321818822682</v>
      </c>
      <c r="BC41" s="638" t="str">
        <f ca="1">TEXT(_xlfn.XLOOKUP(TabTRADER[[#This Row],[ClickTick]],TabCalc[Ticker],TabCalc[NAfter]),"#,#0")&amp;" : "&amp;TEXT(_xlfn.XLOOKUP(TabTRADER[[#This Row],[ClickTick]],TabCalc[Ticker],TabCalc[NAfter])*(TabTRADER[[#This Row],[M]]-TabTRADER[[#This Row],[A]])*(1-Commission)*TabTRADER[[#This Row],[Scale]],"#,#0$")</f>
        <v>50 : 725$</v>
      </c>
      <c r="BD41" s="684">
        <f ca="1">_xlfn.XLOOKUP(TabTRADER[[#This Row],[ClickTick]],TabCalc[[#This Row],[Ticker]],TabCalc[[#This Row],[GL]])*(1-Commission)</f>
        <v>36184.527483499922</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0.22255884409228613</v>
      </c>
      <c r="BJ41" s="679">
        <f ca="1">TabTRADER[[#This Row],[L_Sn]]*TabTRADER[[#This Row],[L_Sp]]+TabTRADER[[#This Row],[SellMore]]*TabTRADER[[#This Row],[M]]</f>
        <v>108897.5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33.50692307692308</v>
      </c>
      <c r="BN41" s="687">
        <f ca="1">((_xlfn.XLOOKUP(TabTRADER[[#This Row],[ClickTick]],TabCalc[Ticker],TabCalc[NAfter])+TabTRADER[[#This Row],[L_Sn]])*(TabTRADER[[#This Row],[Agiotage]]-TabTRADER[[#This Row],[M]]))/(TabTRADER[[#This Row],[L_Sn]]*_xlfn.XLOOKUP(TabTRADER[[#This Row],[ClickTick]],TabCalc[Ticker],TabCalc[NAfter]))</f>
        <v>-0.8715189341466093</v>
      </c>
      <c r="BO41" s="687">
        <f ca="1">(TabTRADER[[#This Row],[M]]-TabTRADER[[#This Row],[Agiotage]])/(TabTRADER[[#This Row],[M]]-TabTRADER[[#This Row],[A]])-1</f>
        <v>1.9508629661085077</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-8,350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-11,900$</v>
      </c>
      <c r="G42" s="225" t="str">
        <f ca="1">IFERROR(TRUNC(_xlfn.XLOOKUP(TabTRADER[[#This Row],[ClickTick]],TabCalc[Ticker],ListLastSalep),2)&amp;"x"&amp;_xlfn.XLOOKUP(TabTRADER[[#This Row],[ClickTick]],TabCalc[Ticker],ListLastSalen)&amp;"=   "&amp;TEXT(-_xlfn.XLOOKUP(TabTRADER[[#This Row],[ClickTick]],TabCalc[Ticker],ListReverseB),"#,#0")&amp;"$","")</f>
        <v>237.8x200=   -4,430$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 = 226</v>
      </c>
      <c r="I42" s="226" t="str">
        <f ca="1">IFERROR(TRUNC(TabCalc[[#This Row],[L_S1p]],2)&amp;"x"&amp;TabCalc[[#This Row],[L_S1n]]&amp;"=   "&amp;TEXT(TabCalc[[#This Row],[ReverseB1]],"#,#0"),"")</f>
        <v>265.05x500=   24,700</v>
      </c>
      <c r="J42" s="295">
        <f ca="1">_xlfn.XLOOKUP(TabTRADER[[#This Row],[ClickTick]],TabCalc[Ticker],ListGravity)</f>
        <v>1.3385893809413403</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495995</v>
      </c>
      <c r="M42" s="323">
        <f ca="1">_xlfn.XLOOKUP(TabTRADER[[#This Row],[ClickTick]],TabCalc[Ticker],TabCalc[Agiotage])</f>
        <v>1.1597733249552002</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-7.1874327523133164E-2</v>
      </c>
      <c r="S42" s="683">
        <f ca="1">_xlfn.XLOOKUP(TabTRADER[[#This Row],[ClickTick]],TabCalc[Ticker],TabCalc[Rev(MinStock)])*(1-Commission)</f>
        <v>-8328.2899999999936</v>
      </c>
      <c r="T42" s="782">
        <f ca="1">_xlfn.XLOOKUP(TabTRADER[[#This Row],[ClickTick]],TabCalc[Ticker],TabCalc[Agiotage])</f>
        <v>1.1597733249552002</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-15,200/-15,200=&gt;-1.1% / -1.1%</v>
      </c>
      <c r="V42" s="739" t="str">
        <f ca="1">_xlfn.XLOOKUP(TabTRADER[[#This Row],[ClickTick]],[1]!RTData[Ticker_Symbol],[1]!RTData[Currency])</f>
        <v>EUR</v>
      </c>
      <c r="W42" s="749">
        <f ca="1">_xlfn.XLOOKUP(TabTRADER[[#This Row],[ClickTick]],TabCalc[Ticker],TabCalc[M])</f>
        <v>215.65</v>
      </c>
      <c r="X42" s="1343"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-9/819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4418.4820000000009</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4418.4820000000009</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9.3145500420521471E-2</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-0.71874327523133164</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-94309.605829999884</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-0.10318050315776207</v>
      </c>
      <c r="AV42" s="762" cm="1">
        <f t="array" aca="1" ref="AV42" ca="1">_xlfn.IFS(               TabTRADER[[#This Row],[Traps]]=NoStock,(TabTRADER[[#This Row],[L_Sp]]-TabTRADER[[#This Row],[M]])/TabTRADER[[#This Row],[M]]-Commission,             TabTRADER[[#This Row],[A]]&lt;&gt;0,(TabTRADER[[#This Row],[A]]-TabTRADER[[#This Row],[M]])/TabTRADER[[#This Row],[M]]-Commission)</f>
        <v>0.1127861032130522</v>
      </c>
      <c r="AW42" s="324">
        <f ca="1">_xlfn.XLOOKUP(TabTRADER[[#This Row],[ClickTick]],TabCalc[Ticker],TabCalc[L_Sn])</f>
        <v>200</v>
      </c>
      <c r="AX42" s="728">
        <f ca="1">_xlfn.XLOOKUP(TabTRADER[[#This Row],[ClickTick]],TabCalc[Ticker],TabCalc[L_Sp])</f>
        <v>237.8</v>
      </c>
      <c r="AY42" s="764">
        <f ca="1">-IFERROR((TabTRADER[[#This Row],[M]]-TabTRADER[[#This Row],[L_Sp]])/TabTRADER[[#This Row],[L_Sp]],0)</f>
        <v>9.3145500420521471E-2</v>
      </c>
      <c r="AZ42" s="729">
        <f ca="1">TabTRADER[[#This Row],[L_Sn]]*(TabTRADER[[#This Row],[M]]-TabTRADER[[#This Row],[L_Sp]])*(1-Commission)*TabTRADER[[#This Row],[Scale]]</f>
        <v>-4418.4820000000009</v>
      </c>
      <c r="BA42" s="692">
        <f ca="1">TabTRADER[[#This Row],[L_Sn]]*(TabTRADER[[#This Row],[Agiotage]]-TabTRADER[[#This Row],[M]])/(TabTRADER[[#This Row],[L_Bn]]*TabTRADER[[#This Row],[M]])</f>
        <v>-0.39784878585679534</v>
      </c>
      <c r="BB42" s="635">
        <f ca="1">IFERROR((TabTRADER[[#This Row],[M]]-TabTRADER[[#This Row],[A]])/TabTRADER[[#This Row],[A]],0)</f>
        <v>-0.10344947178440152</v>
      </c>
      <c r="BC42" s="638" t="str">
        <f ca="1">TEXT(_xlfn.XLOOKUP(TabTRADER[[#This Row],[ClickTick]],TabCalc[Ticker],TabCalc[NAfter]),"#,#0")&amp;" : "&amp;TEXT(_xlfn.XLOOKUP(TabTRADER[[#This Row],[ClickTick]],TabCalc[Ticker],TabCalc[NAfter])*(TabTRADER[[#This Row],[M]]-TabTRADER[[#This Row],[A]])*(1-Commission)*TabTRADER[[#This Row],[Scale]],"#,#0$")</f>
        <v>3,800 : -94,310$</v>
      </c>
      <c r="BD42" s="684">
        <f ca="1">_xlfn.XLOOKUP(TabTRADER[[#This Row],[ClickTick]],TabCalc[[#This Row],[Ticker]],TabCalc[[#This Row],[GL]])*(1-Commission)</f>
        <v>-8872.8953350001393</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-1.1288959298686569</v>
      </c>
      <c r="BO42" s="687">
        <f ca="1">(TabTRADER[[#This Row],[M]]-TabTRADER[[#This Row],[Agiotage]])/(TabTRADER[[#This Row],[M]]-TabTRADER[[#This Row],[A]])-1</f>
        <v>-9.6199458768920376</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-1,342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-3.5%</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-2,280$</v>
      </c>
      <c r="G43" s="225" t="str">
        <f ca="1">IFERROR(TRUNC(_xlfn.XLOOKUP(TabTRADER[[#This Row],[ClickTick]],TabCalc[Ticker],ListLastSalep),2)&amp;"x"&amp;_xlfn.XLOOKUP(TabTRADER[[#This Row],[ClickTick]],TabCalc[Ticker],ListLastSalen)&amp;"=   "&amp;TEXT(-_xlfn.XLOOKUP(TabTRADER[[#This Row],[ClickTick]],TabCalc[Ticker],ListReverseB),"#,#0")&amp;"$","")</f>
        <v>16.54x632=   -1,169$</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12.6% = 2,703</v>
      </c>
      <c r="I43" s="226" t="str">
        <f ca="1">IFERROR(TRUNC(TabCalc[[#This Row],[L_S1p]],2)&amp;"x"&amp;TabCalc[[#This Row],[L_S1n]]&amp;"=   "&amp;TEXT(TabCalc[[#This Row],[ReverseB1]],"#,#0"),"")</f>
        <v>21.02x1000=   6,331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183625</v>
      </c>
      <c r="M43" s="323">
        <f ca="1">_xlfn.XLOOKUP(TabTRADER[[#This Row],[ClickTick]],TabCalc[Ticker],TabCalc[Agiotage])</f>
        <v>4.9657928425179201E-2</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-3.3552631578947355E-2</v>
      </c>
      <c r="S43" s="683">
        <f ca="1">_xlfn.XLOOKUP(TabTRADER[[#This Row],[ClickTick]],TabCalc[Ticker],TabCalc[Rev(MinStock)])*(1-Commission)</f>
        <v>-1338.8299679999993</v>
      </c>
      <c r="T43" s="782">
        <f ca="1">_xlfn.XLOOKUP(TabTRADER[[#This Row],[ClickTick]],TabCalc[Ticker],TabCalc[Agiotage])</f>
        <v>4.9657928425179201E-2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8,875/8,875=&gt;1.6% / 1.6%</v>
      </c>
      <c r="V43" s="739" t="str">
        <f ca="1">_xlfn.XLOOKUP(TabTRADER[[#This Row],[ClickTick]],[1]!RTData[Ticker_Symbol],[1]!RTData[Currency])</f>
        <v>USD</v>
      </c>
      <c r="W43" s="749">
        <f ca="1">_xlfn.XLOOKUP(TabTRADER[[#This Row],[ClickTick]],TabCalc[Ticker],TabCalc[M])</f>
        <v>14.69</v>
      </c>
      <c r="X43" s="1343"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^61/367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1338.8299679999993</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367250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0.12637185191754316</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3.211749489448603E-2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-1.3421052631578942</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3.4717494894486028E-2</v>
      </c>
      <c r="AP43" s="825" cm="1">
        <f t="array" aca="1" ref="AP43" ca="1">_xlfn.IFS(         TabTRADER[[#This Row],[Traps]]=MDown,TabTRADER[[#This Row],[L_Bn]]*TabTRADER[[#This Row],[M]]*(-(TabTRADER[[#This Row],[L_Bp]]+TabTRADER[[#This Row],[M]])/TabTRADER[[#This Row],[M]])*(1-Commission)*TabTRADER[[#This Row],[Scale]],                               TRUE,"")</f>
        <v>1338.8299679999993</v>
      </c>
      <c r="AQ43" s="1186" cm="1">
        <f t="array" aca="1" ref="AQ43" ca="1">_xlfn.IFS(   TabTRADER[[#This Row],[Traps]]=MUp,TabTRADER[[#This Row],[TakeGain_A]]-Commission,        TabTRADER[[#This Row],[Traps]]=MDown,(TabTRADER[[#This Row],[A]]-TabTRADER[[#This Row],[M]])/TabTRADER[[#This Row],[M]]-Commission,                              TRUE,"")</f>
        <v>0.14205176310415268</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52985.239264000062</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-0.51</v>
      </c>
      <c r="AU43" s="765" cm="1">
        <f t="array" aca="1" ref="AU43" ca="1">_xlfn.IFS(TabTRADER[[#This Row],[Traps]]=ReSaleGain,"",         TabTRADER[[#This Row],[Traps]]=MDown, (TabTRADER[[#This Row],[M]]-TabTRADER[[#This Row],[A]])/TabTRADER[[#This Row],[A]]*ComFactor,             TRUE, IFERROR((TabTRADER[[#This Row],[M]]-TabTRADER[[#This Row],[A]])/TabTRADER[[#This Row],[A]]*ComFactor,""))</f>
        <v>-0.12604328510255755</v>
      </c>
      <c r="AV43" s="762" cm="1">
        <f t="array" aca="1" ref="AV43" ca="1">_xlfn.IFS(               TabTRADER[[#This Row],[Traps]]=NoStock,(TabTRADER[[#This Row],[L_Sp]]-TabTRADER[[#This Row],[M]])/TabTRADER[[#This Row],[M]]-Commission,             TabTRADER[[#This Row],[A]]&lt;&gt;0,(TabTRADER[[#This Row],[A]]-TabTRADER[[#This Row],[M]])/TabTRADER[[#This Row],[M]]-Commission)</f>
        <v>0.14205176310415268</v>
      </c>
      <c r="AW43" s="324">
        <f ca="1">_xlfn.XLOOKUP(TabTRADER[[#This Row],[ClickTick]],TabCalc[Ticker],TabCalc[L_Sn])</f>
        <v>632</v>
      </c>
      <c r="AX43" s="728">
        <f ca="1">_xlfn.XLOOKUP(TabTRADER[[#This Row],[ClickTick]],TabCalc[Ticker],TabCalc[L_Sp])</f>
        <v>16.54</v>
      </c>
      <c r="AY43" s="764">
        <f ca="1">-IFERROR((TabTRADER[[#This Row],[M]]-TabTRADER[[#This Row],[L_Sp]])/TabTRADER[[#This Row],[L_Sp]],0)</f>
        <v>0.11185006045949213</v>
      </c>
      <c r="AZ43" s="729">
        <f ca="1">TabTRADER[[#This Row],[L_Sn]]*(TabTRADER[[#This Row],[M]]-TabTRADER[[#This Row],[L_Sp]])*(1-Commission)*TabTRADER[[#This Row],[Scale]]</f>
        <v>-1166.1600799999997</v>
      </c>
      <c r="BA43" s="692">
        <f ca="1">TabTRADER[[#This Row],[L_Sn]]*(TabTRADER[[#This Row],[Agiotage]]-TabTRADER[[#This Row],[M]])/(TabTRADER[[#This Row],[L_Bn]]*TabTRADER[[#This Row],[M]])</f>
        <v>-0.23930987596847736</v>
      </c>
      <c r="BB43" s="635">
        <f ca="1">IFERROR((TabTRADER[[#This Row],[M]]-TabTRADER[[#This Row],[A]])/TabTRADER[[#This Row],[A]],0)</f>
        <v>-0.12637185191754316</v>
      </c>
      <c r="BC43" s="638" t="str">
        <f ca="1">TEXT(_xlfn.XLOOKUP(TabTRADER[[#This Row],[ClickTick]],TabCalc[Ticker],TabCalc[NAfter]),"#,#0")&amp;" : "&amp;TEXT(_xlfn.XLOOKUP(TabTRADER[[#This Row],[ClickTick]],TabCalc[Ticker],TabCalc[NAfter])*(TabTRADER[[#This Row],[M]]-TabTRADER[[#This Row],[A]])*(1-Commission)*TabTRADER[[#This Row],[Scale]],"#,#0$")</f>
        <v>25,000 : -52,985$</v>
      </c>
      <c r="BD43" s="684">
        <f ca="1">_xlfn.XLOOKUP(TabTRADER[[#This Row],[ClickTick]],TabCalc[[#This Row],[Ticker]],TabCalc[[#This Row],[GL]])*(1-Commission)</f>
        <v>60735.89502799997</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3.4717494894486028E-2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-2.3750711897380112E-2</v>
      </c>
      <c r="BO43" s="687">
        <f ca="1">(TabTRADER[[#This Row],[M]]-TabTRADER[[#This Row],[Agiotage]])/(TabTRADER[[#This Row],[M]]-TabTRADER[[#This Row],[A]])-1</f>
        <v>-7.8897854312936921</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+630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1,374$</v>
      </c>
      <c r="G44" s="225" t="str">
        <f ca="1">IFERROR(TRUNC(_xlfn.XLOOKUP(TabTRADER[[#This Row],[ClickTick]],TabCalc[Ticker],ListLastSalep),2)&amp;"x"&amp;_xlfn.XLOOKUP(TabTRADER[[#This Row],[ClickTick]],TabCalc[Ticker],ListLastSalen)&amp;"=   "&amp;TEXT(-_xlfn.XLOOKUP(TabTRADER[[#This Row],[ClickTick]],TabCalc[Ticker],ListReverseB),"#,#0")&amp;"$","")</f>
        <v>12.76x3000=   -9,923$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35.0% = 1,512</v>
      </c>
      <c r="I44" s="226" t="str">
        <f ca="1">IFERROR(TRUNC(TabCalc[[#This Row],[L_S1p]],2)&amp;"x"&amp;TabCalc[[#This Row],[L_S1n]]&amp;"=   "&amp;TEXT(TabCalc[[#This Row],[ReverseB1]],"#,#0"),"")</f>
        <v>10.36x4000=   3,600</v>
      </c>
      <c r="J44" s="295">
        <f ca="1">_xlfn.XLOOKUP(TabTRADER[[#This Row],[ClickTick]],TabCalc[Ticker],ListGravity)</f>
        <v>1.4094429175475687</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0.53756772213783643</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2.2702702702702793E-2</v>
      </c>
      <c r="S44" s="683">
        <f ca="1">_xlfn.XLOOKUP(TabTRADER[[#This Row],[ClickTick]],TabCalc[Ticker],TabCalc[Rev(MinStock)])*(1-Commission)</f>
        <v>628.36200000000247</v>
      </c>
      <c r="T44" s="782">
        <f ca="1">_xlfn.XLOOKUP(TabTRADER[[#This Row],[ClickTick]],TabCalc[Ticker],TabCalc[Agiotage])</f>
        <v>0.53756772213783643</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3,200/3,200=&gt;0.0% / 0.0%</v>
      </c>
      <c r="V44" s="739" t="str">
        <f ca="1">_xlfn.XLOOKUP(TabTRADER[[#This Row],[ClickTick]],[1]!RTData[Ticker_Symbol],[1]!RTData[Currency])</f>
        <v>USD</v>
      </c>
      <c r="W44" s="749">
        <f ca="1">_xlfn.XLOOKUP(TabTRADER[[#This Row],[ClickTick]],TabCalc[Ticker],TabCalc[M])</f>
        <v>9.4600000000000009</v>
      </c>
      <c r="X44" s="1343"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-705/151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9896.8011402599968</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9896.8011402599968</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0.25905812988950649</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2.6884779516358571E-2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-314964.846686</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-0.67423229750774427</v>
      </c>
      <c r="AV44" s="762" cm="1">
        <f t="array" aca="1" ref="AV44" ca="1">_xlfn.IFS(               TabTRADER[[#This Row],[Traps]]=NoStock,(TabTRADER[[#This Row],[L_Sp]]-TabTRADER[[#This Row],[M]])/TabTRADER[[#This Row],[M]]-Commission,             TabTRADER[[#This Row],[A]]&lt;&gt;0,(TabTRADER[[#This Row],[A]]-TabTRADER[[#This Row],[M]])/TabTRADER[[#This Row],[M]]-Commission)</f>
        <v>2.0837232690274838</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0.25905812988950649</v>
      </c>
      <c r="AZ44" s="729">
        <f ca="1">TabTRADER[[#This Row],[L_Sn]]*(TabTRADER[[#This Row],[M]]-TabTRADER[[#This Row],[L_Sp]])*(1-Commission)*TabTRADER[[#This Row],[Scale]]</f>
        <v>-9896.8011402599968</v>
      </c>
      <c r="BA44" s="692">
        <f ca="1">TabTRADER[[#This Row],[L_Sn]]*(TabTRADER[[#This Row],[Agiotage]]-TabTRADER[[#This Row],[M]])/(TabTRADER[[#This Row],[L_Bn]]*TabTRADER[[#This Row],[M]])</f>
        <v>-0.94317465939346334</v>
      </c>
      <c r="BB44" s="635">
        <f ca="1">IFERROR((TabTRADER[[#This Row],[M]]-TabTRADER[[#This Row],[A]])/TabTRADER[[#This Row],[A]],0)</f>
        <v>-0.67598987117279352</v>
      </c>
      <c r="BC44" s="638" t="str">
        <f ca="1">TEXT(_xlfn.XLOOKUP(TabTRADER[[#This Row],[ClickTick]],TabCalc[Ticker],TabCalc[NAfter]),"#,#0")&amp;" : "&amp;TEXT(_xlfn.XLOOKUP(TabTRADER[[#This Row],[ClickTick]],TabCalc[Ticker],TabCalc[NAfter])*(TabTRADER[[#This Row],[M]]-TabTRADER[[#This Row],[A]])*(1-Commission)*TabTRADER[[#This Row],[Scale]],"#,#0$")</f>
        <v>16,000 : -314,965$</v>
      </c>
      <c r="BD44" s="684">
        <f ca="1">_xlfn.XLOOKUP(TabTRADER[[#This Row],[ClickTick]],TabCalc[[#This Row],[Ticker]],TabCalc[[#This Row],[GL]])*(1-Commission)</f>
        <v>-703330.89286774001</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-3.5317961099871065E-3</v>
      </c>
      <c r="BO44" s="687">
        <f ca="1">(TabTRADER[[#This Row],[M]]-TabTRADER[[#This Row],[Agiotage]])/(TabTRADER[[#This Row],[M]]-TabTRADER[[#This Row],[A]])-1</f>
        <v>-1.4520750323765088</v>
      </c>
      <c r="BP44" s="1277">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+94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6" t="str">
        <f ca="1">TRUNC(TabCalc[[#This Row],[L_B1p]],2)&amp;"x"&amp;TabCalc[[#This Row],[L_B1n]]&amp;"=   "&amp;TEXT(TabCalc[[#This Row],[ReverseS1]],"#,#0")&amp;"$"</f>
        <v>-382.16x100=   48$</v>
      </c>
      <c r="G45" s="225" t="str">
        <f ca="1">IFERROR(TRUNC(_xlfn.XLOOKUP(TabTRADER[[#This Row],[ClickTick]],TabCalc[Ticker],ListLastSalep),2)&amp;"x"&amp;_xlfn.XLOOKUP(TabTRADER[[#This Row],[ClickTick]],TabCalc[Ticker],ListLastSalen)&amp;"=   "&amp;TEXT(-_xlfn.XLOOKUP(TabTRADER[[#This Row],[ClickTick]],TabCalc[Ticker],ListReverseB),"#,#0")&amp;"$","")</f>
        <v>427.54x9=   22$</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45" s="226" t="str">
        <f ca="1">IFERROR(TRUNC(TabCalc[[#This Row],[L_S1p]],2)&amp;"x"&amp;TabCalc[[#This Row],[L_S1n]]&amp;"=   "&amp;TEXT(TabCalc[[#This Row],[ReverseB1]],"#,#0"),"")</f>
        <v>333.93x390=   -37,479</v>
      </c>
      <c r="J45" s="295">
        <f ca="1">_xlfn.XLOOKUP(TabTRADER[[#This Row],[ClickTick]],TabCalc[Ticker],ListGravity)</f>
        <v>0.90997848987279972</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1.0965756499001196</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0.27791150337285664</v>
      </c>
      <c r="S45" s="683">
        <f ca="1">_xlfn.XLOOKUP(TabTRADER[[#This Row],[ClickTick]],TabCalc[Ticker],TabCalc[Rev(MinStock)])*(1-Commission)</f>
        <v>93.276847999999973</v>
      </c>
      <c r="T45" s="782">
        <f ca="1">_xlfn.XLOOKUP(TabTRADER[[#This Row],[ClickTick]],TabCalc[Ticker],TabCalc[Agiotage])</f>
        <v>1.0965756499001196</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-8/-8=&gt;-3.6% / -3.6%</v>
      </c>
      <c r="V45" s="739" t="str">
        <f ca="1">_xlfn.XLOOKUP(TabTRADER[[#This Row],[ClickTick]],[1]!RTData[Ticker_Symbol],[1]!RTData[Currency])</f>
        <v>USD</v>
      </c>
      <c r="W45" s="749">
        <f ca="1">_xlfn.XLOOKUP(TabTRADER[[#This Row],[ClickTick]],TabCalc[Ticker],TabCalc[M])</f>
        <v>430.03</v>
      </c>
      <c r="X45" s="1343"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77" t="str" cm="1">
        <f t="array" aca="1" ref="AF45" ca="1">_xlfn.IFS(       TabTRADER[[#This Row],[Traps]]=RePurchaseGain,TEXT(TabTRADER[[#This Row],[L_Sn]],"#,#0")&amp;" x "&amp;TEXT(TabTRADER[[#This Row],[L_Sp]],"#,#0.#0"),     TabTRADER[[#This Row],[Traps]]=ReSaleGain,TEXT(TabTRADER[[#This Row],[L_Bn]],"#0,#0")&amp;" x "&amp;TEXT(TabTRADER[[#This Row],[L_Bp]],"#,#0.#0"),               TRUE,"")</f>
        <v/>
      </c>
      <c r="AG45" s="1177"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77"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2.4835259999999524</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93.276847999999973</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0.27791150337285664</v>
      </c>
      <c r="AK45" s="118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3.1902937004393934E-3</v>
      </c>
      <c r="AL45" s="825" cm="1">
        <f t="array" aca="1" ref="AL45" ca="1">_xlfn.IFS(   TabTRADER[[#This Row],[Traps]]=SellMorePercentGain,                     MIN(TabTRADER[[#This Row],[L_Sn]],TabTRADER[[#This Row],[N]])*(TabTRADER[[#This Row],[M]]-TabTRADER[[#This Row],[L_Sp]])*(1-Commission)*TabTRADER[[#This Row],[Scale]],                    TRUE,"")</f>
        <v>2.4835259999999524</v>
      </c>
      <c r="AM45" s="1192">
        <f ca="1">_xlfn.XLOOKUP(TabTRADER[[#This Row],[ClickTick]],TabCalc[Ticker],TabCalc[Ann%RevLB])</f>
        <v>0.37331395975458359</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cm="1">
        <f t="array" aca="1" ref="AQ45" ca="1">_xlfn.IFS(   TabTRADER[[#This Row],[Traps]]=MUp,TabTRADER[[#This Row],[TakeGain_A]]-Commission,        TabTRADER[[#This Row],[Traps]]=MDown,(TabTRADER[[#This Row],[A]]-TabTRADER[[#This Row],[M]])/TabTRADER[[#This Row],[M]]-Commission,                              TRUE,"")</f>
        <v>0.27531150337285665</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119.19955705756141</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1x93.52</v>
      </c>
      <c r="AU45" s="765" cm="1">
        <f t="array" aca="1" ref="AU45" ca="1">_xlfn.IFS(TabTRADER[[#This Row],[Traps]]=ReSaleGain,"",         TabTRADER[[#This Row],[Traps]]=MDown, (TabTRADER[[#This Row],[M]]-TabTRADER[[#This Row],[A]])/TabTRADER[[#This Row],[A]]*ComFactor,             TRUE, IFERROR((TabTRADER[[#This Row],[M]]-TabTRADER[[#This Row],[A]])/TabTRADER[[#This Row],[A]]*ComFactor,""))</f>
        <v>0.27718893346408718</v>
      </c>
      <c r="AV45" s="762" cm="1">
        <f t="array" aca="1" ref="AV45" ca="1">_xlfn.IFS(               TabTRADER[[#This Row],[Traps]]=NoStock,(TabTRADER[[#This Row],[L_Sp]]-TabTRADER[[#This Row],[M]])/TabTRADER[[#This Row],[M]]-Commission,             TabTRADER[[#This Row],[A]]&lt;&gt;0,(TabTRADER[[#This Row],[A]]-TabTRADER[[#This Row],[M]])/TabTRADER[[#This Row],[M]]-Commission)</f>
        <v>-0.22007319954421781</v>
      </c>
      <c r="AW45" s="324">
        <f ca="1">_xlfn.XLOOKUP(TabTRADER[[#This Row],[ClickTick]],TabCalc[Ticker],TabCalc[L_Sn])</f>
        <v>9</v>
      </c>
      <c r="AX45" s="728">
        <f ca="1">_xlfn.XLOOKUP(TabTRADER[[#This Row],[ClickTick]],TabCalc[Ticker],TabCalc[L_Sp])</f>
        <v>427.54</v>
      </c>
      <c r="AY45" s="764">
        <f ca="1">-IFERROR((TabTRADER[[#This Row],[M]]-TabTRADER[[#This Row],[L_Sp]])/TabTRADER[[#This Row],[L_Sp]],0)</f>
        <v>-5.8240164662954393E-3</v>
      </c>
      <c r="AZ45" s="729">
        <f ca="1">TabTRADER[[#This Row],[L_Sn]]*(TabTRADER[[#This Row],[M]]-TabTRADER[[#This Row],[L_Sp]])*(1-Commission)*TabTRADER[[#This Row],[Scale]]</f>
        <v>22.351733999999571</v>
      </c>
      <c r="BA45" s="692">
        <f ca="1">TabTRADER[[#This Row],[L_Sn]]*(TabTRADER[[#This Row],[Agiotage]]-TabTRADER[[#This Row],[M]])/(TabTRADER[[#This Row],[L_Bn]]*TabTRADER[[#This Row],[M]])</f>
        <v>-2.2442625044478866E-2</v>
      </c>
      <c r="BB45" s="635">
        <f ca="1">IFERROR((TabTRADER[[#This Row],[M]]-TabTRADER[[#This Row],[A]])/TabTRADER[[#This Row],[A]],0)</f>
        <v>0.27791150337285664</v>
      </c>
      <c r="BC45" s="638" t="str">
        <f ca="1">TEXT(_xlfn.XLOOKUP(TabTRADER[[#This Row],[ClickTick]],TabCalc[Ticker],TabCalc[NAfter]),"#,#0")&amp;" : "&amp;TEXT(_xlfn.XLOOKUP(TabTRADER[[#This Row],[ClickTick]],TabCalc[Ticker],TabCalc[NAfter])*(TabTRADER[[#This Row],[M]]-TabTRADER[[#This Row],[A]])*(1-Commission)*TabTRADER[[#This Row],[Scale]],"#,#0$")</f>
        <v>1 : 93$</v>
      </c>
      <c r="BD45" s="684">
        <f ca="1">_xlfn.XLOOKUP(TabTRADER[[#This Row],[ClickTick]],TabCalc[[#This Row],[Ticker]],TabCalc[[#This Row],[GL]])*(1-Commission)</f>
        <v>87427.884945999991</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5.7902937004393933E-3</v>
      </c>
      <c r="BJ45" s="679">
        <f ca="1">TabTRADER[[#This Row],[L_Sn]]*TabTRADER[[#This Row],[L_Sp]]+TabTRADER[[#This Row],[SellMore]]*TabTRADER[[#This Row],[M]]</f>
        <v>4277.8900000000003</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427.78900000000004</v>
      </c>
      <c r="BN45" s="687">
        <f ca="1">((_xlfn.XLOOKUP(TabTRADER[[#This Row],[ClickTick]],TabCalc[Ticker],TabCalc[NAfter])+TabTRADER[[#This Row],[L_Sn]])*(TabTRADER[[#This Row],[Agiotage]]-TabTRADER[[#This Row],[M]]))/(TabTRADER[[#This Row],[L_Sn]]*_xlfn.XLOOKUP(TabTRADER[[#This Row],[ClickTick]],TabCalc[Ticker],TabCalc[NAfter]))</f>
        <v>-476.59269372233325</v>
      </c>
      <c r="BO45" s="687">
        <f ca="1">(TabTRADER[[#This Row],[M]]-TabTRADER[[#This Row],[Agiotage]])/(TabTRADER[[#This Row],[M]]-TabTRADER[[#This Row],[A]])-1</f>
        <v>3.5865421765408465</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-442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1,667</v>
      </c>
      <c r="F46" s="226" t="str">
        <f ca="1">TRUNC(TabCalc[[#This Row],[L_B1p]],2)&amp;"x"&amp;TabCalc[[#This Row],[L_B1n]]&amp;"=   "&amp;TEXT(TabCalc[[#This Row],[ReverseS1]],"#,#0")&amp;"$"</f>
        <v>-235.25x1000=   50,600$</v>
      </c>
      <c r="G46" s="225" t="str">
        <f ca="1">IFERROR(TRUNC(_xlfn.XLOOKUP(TabTRADER[[#This Row],[ClickTick]],TabCalc[Ticker],ListLastSalep),2)&amp;"x"&amp;_xlfn.XLOOKUP(TabTRADER[[#This Row],[ClickTick]],TabCalc[Ticker],ListLastSalen)&amp;"=   "&amp;TEXT(-_xlfn.XLOOKUP(TabTRADER[[#This Row],[ClickTick]],TabCalc[Ticker],ListReverseB),"#,#0")&amp;"$","")</f>
        <v>288.85x300=   -900$</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1,667</v>
      </c>
      <c r="I46" s="226" t="str">
        <f ca="1">IFERROR(TRUNC(TabCalc[[#This Row],[L_S1p]],2)&amp;"x"&amp;TabCalc[[#This Row],[L_S1n]]&amp;"=   "&amp;TEXT(TabCalc[[#This Row],[ReverseB1]],"#,#0"),"")</f>
        <v>296.4x500=   5,275</v>
      </c>
      <c r="J46" s="295">
        <f ca="1">_xlfn.XLOOKUP(TabTRADER[[#This Row],[ClickTick]],TabCalc[Ticker],ListGravity)</f>
        <v>1.1733317474199754</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714625</v>
      </c>
      <c r="M46" s="323">
        <f ca="1">_xlfn.XLOOKUP(TabTRADER[[#This Row],[ClickTick]],TabCalc[Ticker],TabCalc[Agiotage])</f>
        <v>0.9367792081917965</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-1.9291032724922173E-3</v>
      </c>
      <c r="S46" s="683">
        <f ca="1">_xlfn.XLOOKUP(TabTRADER[[#This Row],[ClickTick]],TabCalc[Ticker],TabCalc[Rev(MinStock)])*(1-Commission)</f>
        <v>-440.85079999996191</v>
      </c>
      <c r="T46" s="782">
        <f ca="1">_xlfn.XLOOKUP(TabTRADER[[#This Row],[ClickTick]],TabCalc[Ticker],TabCalc[Agiotage])</f>
        <v>0.9367792081917965</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3,353/3,353=&gt;-1.2% / -1.2%</v>
      </c>
      <c r="V46" s="739" t="str">
        <f ca="1">_xlfn.XLOOKUP(TabTRADER[[#This Row],[ClickTick]],[1]!RTData[Ticker_Symbol],[1]!RTData[Currency])</f>
        <v>USD</v>
      </c>
      <c r="W46" s="749">
        <f ca="1">_xlfn.XLOOKUP(TabTRADER[[#This Row],[ClickTick]],TabCalc[Ticker],TabCalc[M])</f>
        <v>285.85000000000002</v>
      </c>
      <c r="X46" s="1343"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^903/1,286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6" s="1177" t="str" cm="1">
        <f t="array" aca="1" ref="AF46" ca="1">_xlfn.IFS(       TabTRADER[[#This Row],[Traps]]=RePurchaseGain,TEXT(TabTRADER[[#This Row],[L_Sn]],"#,#0")&amp;" x "&amp;TEXT(TabTRADER[[#This Row],[L_Sp]],"#,#0.#0"),     TabTRADER[[#This Row],[Traps]]=ReSaleGain,TEXT(TabTRADER[[#This Row],[L_Bn]],"#0,#0")&amp;" x "&amp;TEXT(TabTRADER[[#This Row],[L_Bp]],"#,#0.#0"),               TRUE,"")</f>
        <v>300 x 288.85</v>
      </c>
      <c r="AG46" s="117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897.66</v>
      </c>
      <c r="AH46" s="117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897.66</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1.0386013501817552E-2</v>
      </c>
      <c r="AK46" s="118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42">
        <f ca="1">_xlfn.XLOOKUP(TabTRADER[[#This Row],[ClickTick]],TabCalc[Ticker],TabCalc[Ann%RevLB])</f>
        <v>-4.3404823631074889E-2</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367579.12234462518</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Row],[Traps]]=ReSaleGain,"",         TabTRADER[[#This Row],[Traps]]=MDown, (TabTRADER[[#This Row],[M]]-TabTRADER[[#This Row],[A]])/TabTRADER[[#This Row],[A]]*ComFactor,             TRUE, IFERROR((TabTRADER[[#This Row],[M]]-TabTRADER[[#This Row],[A]])/TabTRADER[[#This Row],[A]]*ComFactor,""))</f>
        <v>0.40050561813415186</v>
      </c>
      <c r="AV46" s="762" cm="1">
        <f t="array" aca="1" ref="AV46" ca="1">_xlfn.IFS(               TabTRADER[[#This Row],[Traps]]=NoStock,(TabTRADER[[#This Row],[L_Sp]]-TabTRADER[[#This Row],[M]])/TabTRADER[[#This Row],[M]]-Commission,             TabTRADER[[#This Row],[A]]&lt;&gt;0,(TabTRADER[[#This Row],[A]]-TabTRADER[[#This Row],[M]])/TabTRADER[[#This Row],[M]]-Commission)</f>
        <v>-0.28910404786892907</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1.0386013501817552E-2</v>
      </c>
      <c r="AZ46" s="729">
        <f ca="1">TabTRADER[[#This Row],[L_Sn]]*(TabTRADER[[#This Row],[M]]-TabTRADER[[#This Row],[L_Sp]])*(1-Commission)*TabTRADER[[#This Row],[Scale]]</f>
        <v>-897.66</v>
      </c>
      <c r="BA46" s="692">
        <f ca="1">TabTRADER[[#This Row],[L_Sn]]*(TabTRADER[[#This Row],[Agiotage]]-TabTRADER[[#This Row],[M]])/(TabTRADER[[#This Row],[L_Bn]]*TabTRADER[[#This Row],[M]])</f>
        <v>-0.37377106103525648</v>
      </c>
      <c r="BB46" s="635">
        <f ca="1">IFERROR((TabTRADER[[#This Row],[M]]-TabTRADER[[#This Row],[A]])/TabTRADER[[#This Row],[A]],0)</f>
        <v>0.40154964721691588</v>
      </c>
      <c r="BC46" s="638" t="str">
        <f ca="1">TEXT(_xlfn.XLOOKUP(TabTRADER[[#This Row],[ClickTick]],TabCalc[Ticker],TabCalc[NAfter]),"#,#0")&amp;" : "&amp;TEXT(_xlfn.XLOOKUP(TabTRADER[[#This Row],[ClickTick]],TabCalc[Ticker],TabCalc[NAfter])*(TabTRADER[[#This Row],[M]]-TabTRADER[[#This Row],[A]])*(1-Commission)*TabTRADER[[#This Row],[Scale]],"#,#0$")</f>
        <v>4,500 : 367,579$</v>
      </c>
      <c r="BD46" s="684">
        <f ca="1">_xlfn.XLOOKUP(TabTRADER[[#This Row],[ClickTick]],TabCalc[[#This Row],[Ticker]],TabCalc[[#This Row],[GL]])*(1-Commission)</f>
        <v>901080.0068028</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229580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286.97500000000002</v>
      </c>
      <c r="BN46" s="687">
        <f ca="1">((_xlfn.XLOOKUP(TabTRADER[[#This Row],[ClickTick]],TabCalc[Ticker],TabCalc[NAfter])+TabTRADER[[#This Row],[L_Sn]])*(TabTRADER[[#This Row],[Agiotage]]-TabTRADER[[#This Row],[M]]))/(TabTRADER[[#This Row],[L_Sn]]*_xlfn.XLOOKUP(TabTRADER[[#This Row],[ClickTick]],TabCalc[Ticker],TabCalc[NAfter]))</f>
        <v>-1.0130247850375405</v>
      </c>
      <c r="BO46" s="687">
        <f ca="1">(TabTRADER[[#This Row],[M]]-TabTRADER[[#This Row],[Agiotage]])/(TabTRADER[[#This Row],[M]]-TabTRADER[[#This Row],[A]])-1</f>
        <v>2.4789136029356738</v>
      </c>
      <c r="BP46" s="1277">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-3,059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-30.7%</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-4,973$</v>
      </c>
      <c r="G47" s="225" t="str">
        <f ca="1">IFERROR(TRUNC(_xlfn.XLOOKUP(TabTRADER[[#This Row],[ClickTick]],TabCalc[Ticker],ListLastSalep),2)&amp;"x"&amp;_xlfn.XLOOKUP(TabTRADER[[#This Row],[ClickTick]],TabCalc[Ticker],ListLastSalen)&amp;"=   "&amp;TEXT(-_xlfn.XLOOKUP(TabTRADER[[#This Row],[ClickTick]],TabCalc[Ticker],ListReverseB),"#,#0")&amp;"$","")</f>
        <v>44.29x350=   -5,530$</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55.4% = 316</v>
      </c>
      <c r="I47" s="226" t="str">
        <f ca="1">IFERROR(TRUNC(TabCalc[[#This Row],[L_S1p]],2)&amp;"x"&amp;TabCalc[[#This Row],[L_S1n]]&amp;"=   "&amp;TEXT(TabCalc[[#This Row],[ReverseB1]],"#,#0"),"")</f>
        <v>43.37x2500=   37,175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65550</v>
      </c>
      <c r="M47" s="323">
        <f ca="1">_xlfn.XLOOKUP(TabTRADER[[#This Row],[ClickTick]],TabCalc[Ticker],TabCalc[Agiotage])</f>
        <v>1.1342155009451797E-2</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-0.23470826273405165</v>
      </c>
      <c r="S47" s="683">
        <f ca="1">_xlfn.XLOOKUP(TabTRADER[[#This Row],[ClickTick]],TabCalc[Ticker],TabCalc[Rev(MinStock)])*(1-Commission)</f>
        <v>-3051.290962999999</v>
      </c>
      <c r="T47" s="782">
        <f ca="1">_xlfn.XLOOKUP(TabTRADER[[#This Row],[ClickTick]],TabCalc[Ticker],TabCalc[Agiotage])</f>
        <v>1.1342155009451797E-2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300/300=&gt;2.0% / 2.0%</v>
      </c>
      <c r="V47" s="739" t="str">
        <f ca="1">_xlfn.XLOOKUP(TabTRADER[[#This Row],[ClickTick]],[1]!RTData[Ticker_Symbol],[1]!RTData[Currency])</f>
        <v>EUR</v>
      </c>
      <c r="W47" s="749">
        <f ca="1">_xlfn.XLOOKUP(TabTRADER[[#This Row],[ClickTick]],TabCalc[Ticker],TabCalc[M])</f>
        <v>28.5</v>
      </c>
      <c r="X47" s="1343"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-204/86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3051.290962999999</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85500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0.3148931413591799</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0.30409122807017536</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-0.75441941593088035</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0.30669122807017535</v>
      </c>
      <c r="AP47" s="825" cm="1">
        <f t="array" aca="1" ref="AP47" ca="1">_xlfn.IFS(         TabTRADER[[#This Row],[Traps]]=MDown,TabTRADER[[#This Row],[L_Bn]]*TabTRADER[[#This Row],[M]]*(-(TabTRADER[[#This Row],[L_Bp]]+TabTRADER[[#This Row],[M]])/TabTRADER[[#This Row],[M]])*(1-Commission)*TabTRADER[[#This Row],[Scale]],                               TRUE,"")</f>
        <v>3051.290962999999</v>
      </c>
      <c r="AQ47" s="1186" cm="1">
        <f t="array" aca="1" ref="AQ47" ca="1">_xlfn.IFS(   TabTRADER[[#This Row],[Traps]]=MUp,TabTRADER[[#This Row],[TakeGain_A]]-Commission,        TabTRADER[[#This Row],[Traps]]=MDown,(TabTRADER[[#This Row],[A]]-TabTRADER[[#This Row],[M]])/TabTRADER[[#This Row],[M]]-Commission,                              TRUE,"")</f>
        <v>0.45702631578947372</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39195.875070000002</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-8.74</v>
      </c>
      <c r="AU47" s="765" cm="1">
        <f t="array" aca="1" ref="AU47" ca="1">_xlfn.IFS(TabTRADER[[#This Row],[Traps]]=ReSaleGain,"",         TabTRADER[[#This Row],[Traps]]=MDown, (TabTRADER[[#This Row],[M]]-TabTRADER[[#This Row],[A]])/TabTRADER[[#This Row],[A]]*ComFactor,             TRUE, IFERROR((TabTRADER[[#This Row],[M]]-TabTRADER[[#This Row],[A]])/TabTRADER[[#This Row],[A]]*ComFactor,""))</f>
        <v>-0.31407441919164603</v>
      </c>
      <c r="AV47" s="762" cm="1">
        <f t="array" aca="1" ref="AV47" ca="1">_xlfn.IFS(               TabTRADER[[#This Row],[Traps]]=NoStock,(TabTRADER[[#This Row],[L_Sp]]-TabTRADER[[#This Row],[M]])/TabTRADER[[#This Row],[M]]-Commission,             TabTRADER[[#This Row],[A]]&lt;&gt;0,(TabTRADER[[#This Row],[A]]-TabTRADER[[#This Row],[M]])/TabTRADER[[#This Row],[M]]-Commission)</f>
        <v>0.45702631578947372</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0.35664127920481764</v>
      </c>
      <c r="AZ47" s="729">
        <f ca="1">TabTRADER[[#This Row],[L_Sn]]*(TabTRADER[[#This Row],[M]]-TabTRADER[[#This Row],[L_Sp]])*(1-Commission)*TabTRADER[[#This Row],[Scale]]</f>
        <v>-5515.1926192999981</v>
      </c>
      <c r="BA47" s="692">
        <f ca="1">TabTRADER[[#This Row],[L_Sn]]*(TabTRADER[[#This Row],[Agiotage]]-TabTRADER[[#This Row],[M]])/(TabTRADER[[#This Row],[L_Bn]]*TabTRADER[[#This Row],[M]])</f>
        <v>-0.99960202964879108</v>
      </c>
      <c r="BB47" s="635">
        <f ca="1">IFERROR((TabTRADER[[#This Row],[M]]-TabTRADER[[#This Row],[A]])/TabTRADER[[#This Row],[A]],0)</f>
        <v>-0.3148931413591799</v>
      </c>
      <c r="BC47" s="638" t="str">
        <f ca="1">TEXT(_xlfn.XLOOKUP(TabTRADER[[#This Row],[ClickTick]],TabCalc[Ticker],TabCalc[NAfter]),"#,#0")&amp;" : "&amp;TEXT(_xlfn.XLOOKUP(TabTRADER[[#This Row],[ClickTick]],TabCalc[Ticker],TabCalc[NAfter])*(TabTRADER[[#This Row],[M]]-TabTRADER[[#This Row],[A]])*(1-Commission)*TabTRADER[[#This Row],[Scale]],"#,#0$")</f>
        <v>3,000 : -39,196$</v>
      </c>
      <c r="BD47" s="684">
        <f ca="1">_xlfn.XLOOKUP(TabTRADER[[#This Row],[ClickTick]],TabCalc[[#This Row],[Ticker]],TabCalc[[#This Row],[GL]])*(1-Commission)</f>
        <v>-203152.621293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0.30669122807017535</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-9.0892384553065086E-2</v>
      </c>
      <c r="BO47" s="687">
        <f ca="1">(TabTRADER[[#This Row],[M]]-TabTRADER[[#This Row],[Agiotage]])/(TabTRADER[[#This Row],[M]]-TabTRADER[[#This Row],[A]])-1</f>
        <v>-3.1748146163733733</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-19,788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-41.7%</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1.1305742574257425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34367.775000000001</v>
      </c>
      <c r="M48" s="323">
        <f ca="1">_xlfn.XLOOKUP(TabTRADER[[#This Row],[ClickTick]],TabCalc[Ticker],TabCalc[Agiotage])</f>
        <v>0.91417887555869204</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-0.29408602150537638</v>
      </c>
      <c r="S48" s="683">
        <f ca="1">_xlfn.XLOOKUP(TabTRADER[[#This Row],[ClickTick]],TabCalc[Ticker],TabCalc[Rev(MinStock)])*(1-Commission)</f>
        <v>-19736.276915000002</v>
      </c>
      <c r="T48" s="782">
        <f ca="1">_xlfn.XLOOKUP(TabTRADER[[#This Row],[ClickTick]],TabCalc[Ticker],TabCalc[Agiotage])</f>
        <v>0.91417887555869204</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2,351/2,351=&gt;4.9% / 4.9%</v>
      </c>
      <c r="V48" s="739" t="str">
        <f ca="1">_xlfn.XLOOKUP(TabTRADER[[#This Row],[ClickTick]],[1]!RTData[Ticker_Symbol],[1]!RTData[Currency])</f>
        <v>USD</v>
      </c>
      <c r="W48" s="749">
        <f ca="1">_xlfn.XLOOKUP(TabTRADER[[#This Row],[ClickTick]],TabCalc[Ticker],TabCalc[M])</f>
        <v>6.5650000000000004</v>
      </c>
      <c r="X48" s="1343"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-20/47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19736.276915000002</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47497.775000000001</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0.29408602150537638</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0.41400319878141661</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-1.1262868908716541</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0.41660319878141661</v>
      </c>
      <c r="AP48" s="825" cm="1">
        <f t="array" aca="1" ref="AP48" ca="1">_xlfn.IFS(         TabTRADER[[#This Row],[Traps]]=MDown,TabTRADER[[#This Row],[L_Bn]]*TabTRADER[[#This Row],[M]]*(-(TabTRADER[[#This Row],[L_Bp]]+TabTRADER[[#This Row],[M]])/TabTRADER[[#This Row],[M]])*(1-Commission)*TabTRADER[[#This Row],[Scale]],                               TRUE,"")</f>
        <v>19736.276915000002</v>
      </c>
      <c r="AQ48" s="1186" cm="1">
        <f t="array" aca="1" ref="AQ48" ca="1">_xlfn.IFS(   TabTRADER[[#This Row],[Traps]]=MUp,TabTRADER[[#This Row],[TakeGain_A]]-Commission,        TabTRADER[[#This Row],[Traps]]=MDown,(TabTRADER[[#This Row],[A]]-TabTRADER[[#This Row],[M]])/TabTRADER[[#This Row],[M]]-Commission,                              TRUE,"")</f>
        <v>0.41400319878141661</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19736.276915000002</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-2.73</v>
      </c>
      <c r="AU48" s="765" cm="1">
        <f t="array" aca="1" ref="AU48" ca="1">_xlfn.IFS(TabTRADER[[#This Row],[Traps]]=ReSaleGain,"",         TabTRADER[[#This Row],[Traps]]=MDown, (TabTRADER[[#This Row],[M]]-TabTRADER[[#This Row],[A]])/TabTRADER[[#This Row],[A]]*ComFactor,             TRUE, IFERROR((TabTRADER[[#This Row],[M]]-TabTRADER[[#This Row],[A]])/TabTRADER[[#This Row],[A]]*ComFactor,""))</f>
        <v>-0.29332139784946237</v>
      </c>
      <c r="AV48" s="762" cm="1">
        <f t="array" aca="1" ref="AV48" ca="1">_xlfn.IFS(               TabTRADER[[#This Row],[Traps]]=NoStock,(TabTRADER[[#This Row],[L_Sp]]-TabTRADER[[#This Row],[M]])/TabTRADER[[#This Row],[M]]-Commission,             TabTRADER[[#This Row],[A]]&lt;&gt;0,(TabTRADER[[#This Row],[A]]-TabTRADER[[#This Row],[M]])/TabTRADER[[#This Row],[M]]-Commission)</f>
        <v>0.41400319878141661</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-0.29408602150537638</v>
      </c>
      <c r="BC48" s="638" t="str">
        <f ca="1">TEXT(_xlfn.XLOOKUP(TabTRADER[[#This Row],[ClickTick]],TabCalc[Ticker],TabCalc[NAfter]),"#,#0")&amp;" : "&amp;TEXT(_xlfn.XLOOKUP(TabTRADER[[#This Row],[ClickTick]],TabCalc[Ticker],TabCalc[NAfter])*(TabTRADER[[#This Row],[M]]-TabTRADER[[#This Row],[A]])*(1-Commission)*TabTRADER[[#This Row],[Scale]],"#,#0$")</f>
        <v>7,235 : -19,736$</v>
      </c>
      <c r="BD48" s="684">
        <f ca="1">_xlfn.XLOOKUP(TabTRADER[[#This Row],[ClickTick]],TabCalc[[#This Row],[Ticker]],TabCalc[[#This Row],[GL]])*(1-Commission)</f>
        <v>-19736.276914999999</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0.41660319878141661</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-3.0661137566513008</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-875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1,877</v>
      </c>
      <c r="F49" s="226" t="str">
        <f ca="1">TRUNC(TabCalc[[#This Row],[L_B1p]],2)&amp;"x"&amp;TabCalc[[#This Row],[L_B1n]]&amp;"=   "&amp;TEXT(TabCalc[[#This Row],[ReverseS1]],"#,#0")&amp;"$"</f>
        <v>-24.15x3000=   9,800$</v>
      </c>
      <c r="G49" s="225" t="str">
        <f ca="1">IFERROR(TRUNC(_xlfn.XLOOKUP(TabTRADER[[#This Row],[ClickTick]],TabCalc[Ticker],ListLastSalep),2)&amp;"x"&amp;_xlfn.XLOOKUP(TabTRADER[[#This Row],[ClickTick]],TabCalc[Ticker],ListLastSalen)&amp;"=   "&amp;TEXT(-_xlfn.XLOOKUP(TabTRADER[[#This Row],[ClickTick]],TabCalc[Ticker],ListReverseB),"#,#0")&amp;"$","")</f>
        <v>30.08x500=   -1,332$</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9.7% = 1,877</v>
      </c>
      <c r="I49" s="226" t="str">
        <f ca="1">IFERROR(TRUNC(TabCalc[[#This Row],[L_S1p]],2)&amp;"x"&amp;TabCalc[[#This Row],[L_S1n]]&amp;"=   "&amp;TEXT(TabCalc[[#This Row],[ReverseB1]],"#,#0"),"")</f>
        <v>25.39x3000=   -6,080</v>
      </c>
      <c r="J49" s="295">
        <f ca="1">_xlfn.XLOOKUP(TabTRADER[[#This Row],[ClickTick]],TabCalc[Ticker],ListGravity)</f>
        <v>1.2401291193259534</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2.7336551328617856E-2</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-2.0839285714285744E-2</v>
      </c>
      <c r="S49" s="683">
        <f ca="1">_xlfn.XLOOKUP(TabTRADER[[#This Row],[ClickTick]],TabCalc[Ticker],TabCalc[Rev(MinStock)])*(1-Commission)</f>
        <v>-872.9743500000011</v>
      </c>
      <c r="T49" s="782">
        <f ca="1">_xlfn.XLOOKUP(TabTRADER[[#This Row],[ClickTick]],TabCalc[Ticker],TabCalc[Agiotage])</f>
        <v>2.7336551328617856E-2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1,130/1,130=&gt;0.5% / 0.5%</v>
      </c>
      <c r="V49" s="739" t="str">
        <f ca="1">_xlfn.XLOOKUP(TabTRADER[[#This Row],[ClickTick]],[1]!RTData[Ticker_Symbol],[1]!RTData[Currency])</f>
        <v>USD</v>
      </c>
      <c r="W49" s="749">
        <f ca="1">_xlfn.XLOOKUP(TabTRADER[[#This Row],[ClickTick]],TabCalc[Ticker],TabCalc[M])</f>
        <v>27.416499999999999</v>
      </c>
      <c r="X49" s="1343"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^94/82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77" t="str" cm="1">
        <f t="array" aca="1" ref="AF49" ca="1">_xlfn.IFS(       TabTRADER[[#This Row],[Traps]]=RePurchaseGain,TEXT(TabTRADER[[#This Row],[L_Sn]],"#,#0")&amp;" x "&amp;TEXT(TabTRADER[[#This Row],[L_Sp]],"#,#0.#0"),     TabTRADER[[#This Row],[Traps]]=ReSaleGain,TEXT(TabTRADER[[#This Row],[L_Bn]],"#0,#0")&amp;" x "&amp;TEXT(TabTRADER[[#This Row],[L_Bp]],"#,#0.#0"),               TRUE,"")</f>
        <v/>
      </c>
      <c r="AG49" s="1177"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77"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872.9743500000011</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82249.5</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-5.1447746883988496E-2</v>
      </c>
      <c r="AK49" s="1186"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1.8682804150785139E-2</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-0.83357142857142974</v>
      </c>
      <c r="AN49" s="1282">
        <f ca="1">_xlfn.XLOOKUP(TabTRADER[[#This Row],[ClickTick]],TabCalc[Ticker],TabCalc[Up20])</f>
        <v>0</v>
      </c>
      <c r="AO49" s="1187"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2.128280415078514E-2</v>
      </c>
      <c r="AP49" s="825" cm="1">
        <f t="array" aca="1" ref="AP49" ca="1">_xlfn.IFS(         TabTRADER[[#This Row],[Traps]]=MDown,TabTRADER[[#This Row],[L_Bn]]*TabTRADER[[#This Row],[M]]*(-(TabTRADER[[#This Row],[L_Bp]]+TabTRADER[[#This Row],[M]])/TabTRADER[[#This Row],[M]])*(1-Commission)*TabTRADER[[#This Row],[Scale]],                               TRUE,"")</f>
        <v>872.97435000000121</v>
      </c>
      <c r="AQ49" s="1186" cm="1">
        <f t="array" aca="1" ref="AQ49" ca="1">_xlfn.IFS(   TabTRADER[[#This Row],[Traps]]=MUp,TabTRADER[[#This Row],[TakeGain_A]]-Commission,        TabTRADER[[#This Row],[Traps]]=MDown,(TabTRADER[[#This Row],[A]]-TabTRADER[[#This Row],[M]])/TabTRADER[[#This Row],[M]]-Commission,                              TRUE,"")</f>
        <v>-5.1530388634581363E-2</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-4014.0362999999993</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9" s="736"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-0.57999999999999996</v>
      </c>
      <c r="AU49" s="765" cm="1">
        <f t="array" aca="1" ref="AU49" ca="1">_xlfn.IFS(TabTRADER[[#This Row],[Traps]]=ReSaleGain,"",         TabTRADER[[#This Row],[Traps]]=MDown, (TabTRADER[[#This Row],[M]]-TabTRADER[[#This Row],[A]])/TabTRADER[[#This Row],[A]]*ComFactor,             TRUE, IFERROR((TabTRADER[[#This Row],[M]]-TabTRADER[[#This Row],[A]])/TabTRADER[[#This Row],[A]]*ComFactor,""))</f>
        <v>5.1313982742090126E-2</v>
      </c>
      <c r="AV49" s="762" cm="1">
        <f t="array" aca="1" ref="AV49" ca="1">_xlfn.IFS(               TabTRADER[[#This Row],[Traps]]=NoStock,(TabTRADER[[#This Row],[L_Sp]]-TabTRADER[[#This Row],[M]])/TabTRADER[[#This Row],[M]]-Commission,             TabTRADER[[#This Row],[A]]&lt;&gt;0,(TabTRADER[[#This Row],[A]]-TabTRADER[[#This Row],[M]])/TabTRADER[[#This Row],[M]]-Commission)</f>
        <v>-5.1530388634581363E-2</v>
      </c>
      <c r="AW49" s="324">
        <f ca="1">_xlfn.XLOOKUP(TabTRADER[[#This Row],[ClickTick]],TabCalc[Ticker],TabCalc[L_Sn])</f>
        <v>500</v>
      </c>
      <c r="AX49" s="728">
        <f ca="1">_xlfn.XLOOKUP(TabTRADER[[#This Row],[ClickTick]],TabCalc[Ticker],TabCalc[L_Sp])</f>
        <v>30.08</v>
      </c>
      <c r="AY49" s="764">
        <f ca="1">-IFERROR((TabTRADER[[#This Row],[M]]-TabTRADER[[#This Row],[L_Sp]])/TabTRADER[[#This Row],[L_Sp]],0)</f>
        <v>8.8547207446808482E-2</v>
      </c>
      <c r="AZ49" s="729">
        <f ca="1">TabTRADER[[#This Row],[L_Sn]]*(TabTRADER[[#This Row],[M]]-TabTRADER[[#This Row],[L_Sp]])*(1-Commission)*TabTRADER[[#This Row],[Scale]]</f>
        <v>-1328.2874499999996</v>
      </c>
      <c r="BA49" s="692">
        <f ca="1">TabTRADER[[#This Row],[L_Sn]]*(TabTRADER[[#This Row],[Agiotage]]-TabTRADER[[#This Row],[M]])/(TabTRADER[[#This Row],[L_Bn]]*TabTRADER[[#This Row],[M]])</f>
        <v>-0.33300097202622969</v>
      </c>
      <c r="BB49" s="635">
        <f ca="1">IFERROR((TabTRADER[[#This Row],[M]]-TabTRADER[[#This Row],[A]])/TabTRADER[[#This Row],[A]],0)</f>
        <v>5.1447746883988496E-2</v>
      </c>
      <c r="BC49" s="638" t="str">
        <f ca="1">TEXT(_xlfn.XLOOKUP(TabTRADER[[#This Row],[ClickTick]],TabCalc[Ticker],TabCalc[NAfter]),"#,#0")&amp;" : "&amp;TEXT(_xlfn.XLOOKUP(TabTRADER[[#This Row],[ClickTick]],TabCalc[Ticker],TabCalc[NAfter])*(TabTRADER[[#This Row],[M]]-TabTRADER[[#This Row],[A]])*(1-Commission)*TabTRADER[[#This Row],[Scale]],"#,#0$")</f>
        <v>3,000 : 4,014$</v>
      </c>
      <c r="BD49" s="684">
        <f ca="1">_xlfn.XLOOKUP(TabTRADER[[#This Row],[ClickTick]],TabCalc[[#This Row],[Ticker]],TabCalc[[#This Row],[GL]])*(1-Commission)</f>
        <v>93901.090737999984</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2.128280415078514E-2</v>
      </c>
      <c r="BJ49" s="679">
        <f ca="1">TabTRADER[[#This Row],[L_Sn]]*TabTRADER[[#This Row],[L_Sp]]+TabTRADER[[#This Row],[SellMore]]*TabTRADER[[#This Row],[M]]</f>
        <v>56164.75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28.082374999999999</v>
      </c>
      <c r="BN49" s="687">
        <f ca="1">((_xlfn.XLOOKUP(TabTRADER[[#This Row],[ClickTick]],TabCalc[Ticker],TabCalc[NAfter])+TabTRADER[[#This Row],[L_Sn]])*(TabTRADER[[#This Row],[Agiotage]]-TabTRADER[[#This Row],[M]]))/(TabTRADER[[#This Row],[L_Sn]]*_xlfn.XLOOKUP(TabTRADER[[#This Row],[ClickTick]],TabCalc[Ticker],TabCalc[NAfter]))</f>
        <v>-6.3908048046899896E-2</v>
      </c>
      <c r="BO49" s="687">
        <f ca="1">(TabTRADER[[#This Row],[M]]-TabTRADER[[#This Row],[Agiotage]])/(TabTRADER[[#This Row],[M]]-TabTRADER[[#This Row],[A]])-1</f>
        <v>19.416819566657761</v>
      </c>
      <c r="BP49" s="1277">
        <f ca="1">_xlfn.XMATCH(TabTRADER[[#This Row],[ClickTick]]&amp;1, TabConsolid[#Headers])</f>
        <v>143</v>
      </c>
      <c r="BQ49" t="str">
        <f ca="1">IF(ABS(TabTRADER[[#This Row],[L_Bp]])&gt;=TabTRADER[[#This Row],[M]],"OK")</f>
        <v>OK</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-300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-58.8x2000=   -1,000$</v>
      </c>
      <c r="G50" s="225" t="str">
        <f ca="1">IFERROR(TRUNC(_xlfn.XLOOKUP(TabTRADER[[#This Row],[ClickTick]],TabCalc[Ticker],ListLastSalep),2)&amp;"x"&amp;_xlfn.XLOOKUP(TabTRADER[[#This Row],[ClickTick]],TabCalc[Ticker],ListLastSalen)&amp;"=   "&amp;TEXT(-_xlfn.XLOOKUP(TabTRADER[[#This Row],[ClickTick]],TabCalc[Ticker],ListReverseB),"#,#0")&amp;"$","")</f>
        <v>61.2x21=   -61$</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 = 1,724</v>
      </c>
      <c r="I50" s="226" t="str">
        <f ca="1">IFERROR(TRUNC(TabCalc[[#This Row],[L_S1p]],2)&amp;"x"&amp;TabCalc[[#This Row],[L_S1n]]&amp;"=   "&amp;TEXT(TabCalc[[#This Row],[ReverseB1]],"#,#0"),"")</f>
        <v>61.2x21=   61</v>
      </c>
      <c r="J50" s="295">
        <f ca="1">_xlfn.XLOOKUP(TabTRADER[[#This Row],[ClickTick]],TabCalc[Ticker],ListGravity)</f>
        <v>1.0548885077186965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0.76176321138211378</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-2.5662959794697294E-3</v>
      </c>
      <c r="S50" s="683">
        <f ca="1">_xlfn.XLOOKUP(TabTRADER[[#This Row],[ClickTick]],TabCalc[Ticker],TabCalc[Rev(MinStock)])*(1-Commission)</f>
        <v>-299.22000000001134</v>
      </c>
      <c r="T50" s="782">
        <f ca="1">_xlfn.XLOOKUP(TabTRADER[[#This Row],[ClickTick]],TabCalc[Ticker],TabCalc[Agiotage])</f>
        <v>0.76176321138211378</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-2,000/-2,000=&gt;0.2% / 0.2%</v>
      </c>
      <c r="V50" s="739" t="str">
        <f ca="1">_xlfn.XLOOKUP(TabTRADER[[#This Row],[ClickTick]],[1]!RTData[Ticker_Symbol],[1]!RTData[Currency])</f>
        <v>CHF</v>
      </c>
      <c r="W50" s="749">
        <f ca="1">_xlfn.XLOOKUP(TabTRADER[[#This Row],[ClickTick]],TabCalc[Ticker],TabCalc[M])</f>
        <v>58.3</v>
      </c>
      <c r="X50" s="1343"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^121/1,166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0" s="1177" t="str" cm="1">
        <f t="array" aca="1" ref="AF50" ca="1">_xlfn.IFS(       TabTRADER[[#This Row],[Traps]]=RePurchaseGain,TEXT(TabTRADER[[#This Row],[L_Sn]],"#,#0")&amp;" x "&amp;TEXT(TabTRADER[[#This Row],[L_Sp]],"#,#0.#0"),     TabTRADER[[#This Row],[Traps]]=ReSaleGain,TEXT(TabTRADER[[#This Row],[L_Bn]],"#0,#0")&amp;" x "&amp;TEXT(TabTRADER[[#This Row],[L_Bp]],"#,#0.#0"),               TRUE,"")</f>
        <v/>
      </c>
      <c r="AG50" s="1177" t="str"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-58.45</v>
      </c>
      <c r="AH50" s="1177"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299.22000000001134</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1166000</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2.0433309374679128E-2</v>
      </c>
      <c r="AK50" s="1186"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-2.7101200686008471E-5</v>
      </c>
      <c r="AL50" s="825" t="str" cm="1">
        <f t="array" aca="1" ref="AL50" ca="1">_xlfn.IFS(   TabTRADER[[#This Row],[Traps]]=SellMorePercentGain,                     MIN(TabTRADER[[#This Row],[L_Sn]],TabTRADER[[#This Row],[N]])*(TabTRADER[[#This Row],[M]]-TabTRADER[[#This Row],[L_Sp]])*(1-Commission)*TabTRADER[[#This Row],[Scale]],                    TRUE,"")</f>
        <v/>
      </c>
      <c r="AM50" s="1192" t="str">
        <f ca="1">_xlfn.XLOOKUP(TabTRADER[[#This Row],[ClickTick]],TabCalc[Ticker],TabCalc[Ann%RevLB])</f>
        <v/>
      </c>
      <c r="AN50" s="1282">
        <f ca="1">_xlfn.XLOOKUP(TabTRADER[[#This Row],[ClickTick]],TabCalc[Ticker],TabCalc[Up20])</f>
        <v>0</v>
      </c>
      <c r="AO50" s="1187"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2.5728987993139914E-3</v>
      </c>
      <c r="AP50" s="825" cm="1">
        <f t="array" aca="1" ref="AP50" ca="1">_xlfn.IFS(         TabTRADER[[#This Row],[Traps]]=MDown,TabTRADER[[#This Row],[L_Bn]]*TabTRADER[[#This Row],[M]]*(-(TabTRADER[[#This Row],[L_Bp]]+TabTRADER[[#This Row],[M]])/TabTRADER[[#This Row],[M]])*(1-Commission)*TabTRADER[[#This Row],[Scale]],                               TRUE,"")</f>
        <v>299.2200000000114</v>
      </c>
      <c r="AQ50" s="1186" cm="1">
        <f t="array" aca="1" ref="AQ50" ca="1">_xlfn.IFS(   TabTRADER[[#This Row],[Traps]]=MUp,TabTRADER[[#This Row],[TakeGain_A]]-Commission,        TabTRADER[[#This Row],[Traps]]=MDown,(TabTRADER[[#This Row],[A]]-TabTRADER[[#This Row],[M]])/TabTRADER[[#This Row],[M]]-Commission,                              TRUE,"")</f>
        <v>1.8259538784067088E-2</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24258.984444444442</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50" s="736"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-0.15</v>
      </c>
      <c r="AU50" s="765" cm="1">
        <f t="array" aca="1" ref="AU50" ca="1">_xlfn.IFS(TabTRADER[[#This Row],[Traps]]=ReSaleGain,"",         TabTRADER[[#This Row],[Traps]]=MDown, (TabTRADER[[#This Row],[M]]-TabTRADER[[#This Row],[A]])/TabTRADER[[#This Row],[A]]*ComFactor,             TRUE, IFERROR((TabTRADER[[#This Row],[M]]-TabTRADER[[#This Row],[A]])/TabTRADER[[#This Row],[A]]*ComFactor,""))</f>
        <v>-2.0380182770304962E-2</v>
      </c>
      <c r="AV50" s="762" cm="1">
        <f t="array" aca="1" ref="AV50" ca="1">_xlfn.IFS(               TabTRADER[[#This Row],[Traps]]=NoStock,(TabTRADER[[#This Row],[L_Sp]]-TabTRADER[[#This Row],[M]])/TabTRADER[[#This Row],[M]]-Commission,             TabTRADER[[#This Row],[A]]&lt;&gt;0,(TabTRADER[[#This Row],[A]]-TabTRADER[[#This Row],[M]])/TabTRADER[[#This Row],[M]]-Commission)</f>
        <v>1.8259538784067088E-2</v>
      </c>
      <c r="AW50" s="324">
        <f ca="1">_xlfn.XLOOKUP(TabTRADER[[#This Row],[ClickTick]],TabCalc[Ticker],TabCalc[L_Sn])</f>
        <v>21</v>
      </c>
      <c r="AX50" s="728">
        <f ca="1">_xlfn.XLOOKUP(TabTRADER[[#This Row],[ClickTick]],TabCalc[Ticker],TabCalc[L_Sp])</f>
        <v>61.2</v>
      </c>
      <c r="AY50" s="764">
        <f ca="1">-IFERROR((TabTRADER[[#This Row],[M]]-TabTRADER[[#This Row],[L_Sp]])/TabTRADER[[#This Row],[L_Sp]],0)</f>
        <v>4.7385620915032768E-2</v>
      </c>
      <c r="AZ50" s="729">
        <f ca="1">TabTRADER[[#This Row],[L_Sn]]*(TabTRADER[[#This Row],[M]]-TabTRADER[[#This Row],[L_Sp]])*(1-Commission)*TabTRADER[[#This Row],[Scale]]</f>
        <v>-60.741660000000117</v>
      </c>
      <c r="BA50" s="692">
        <f ca="1">TabTRADER[[#This Row],[L_Sn]]*(TabTRADER[[#This Row],[Agiotage]]-TabTRADER[[#This Row],[M]])/(TabTRADER[[#This Row],[L_Bn]]*TabTRADER[[#This Row],[M]])</f>
        <v>-1.0362804224365141E-2</v>
      </c>
      <c r="BB50" s="635">
        <f ca="1">IFERROR((TabTRADER[[#This Row],[M]]-TabTRADER[[#This Row],[A]])/TabTRADER[[#This Row],[A]],0)</f>
        <v>-2.0433309374679128E-2</v>
      </c>
      <c r="BC50" s="638" t="str">
        <f ca="1">TEXT(_xlfn.XLOOKUP(TabTRADER[[#This Row],[ClickTick]],TabCalc[Ticker],TabCalc[NAfter]),"#,#0")&amp;" : "&amp;TEXT(_xlfn.XLOOKUP(TabTRADER[[#This Row],[ClickTick]],TabCalc[Ticker],TabCalc[NAfter])*(TabTRADER[[#This Row],[M]]-TabTRADER[[#This Row],[A]])*(1-Commission)*TabTRADER[[#This Row],[Scale]],"#,#0$")</f>
        <v>20,000 : -24,259$</v>
      </c>
      <c r="BD50" s="684">
        <f ca="1">_xlfn.XLOOKUP(TabTRADER[[#This Row],[ClickTick]],TabCalc[[#This Row],[Ticker]],TabCalc[[#This Row],[GL]])*(1-Commission)</f>
        <v>120190.99879399994</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AMY</v>
      </c>
      <c r="BI50" s="909"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2.5728987993139914E-3</v>
      </c>
      <c r="BJ50" s="679" t="e">
        <f ca="1">TabTRADER[[#This Row],[L_Sn]]*TabTRADER[[#This Row],[L_Sp]]+TabTRADER[[#This Row],[SellMore]]*TabTRADER[[#This Row],[M]]</f>
        <v>#N/A</v>
      </c>
      <c r="BK50" s="679" t="e">
        <f ca="1">INDEX(
  INDEX(TabConsolid[], , _xlfn.XMATCH(TabTRADER[[#This Row],[ClickTick]]&amp;1, TabConsolid[#Headers])),
  MATCH(
    -TabTRADER[[#This Row],[M]],
    INDEX(TabConsolid[], , _xlfn.XMATCH(TabTRADER[[#This Row],[ClickTick]]&amp;2, TabConsolid[#Headers])),
    -1
  )
)</f>
        <v>#N/A</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0" s="1156" t="e">
        <f ca="1">TabTRADER[[#This Row],[ReBuy]]/(TabTRADER[[#This Row],[L_Sn]]+TabTRADER[[#This Row],[SellMore]])</f>
        <v>#N/A</v>
      </c>
      <c r="BN50" s="687">
        <f ca="1">((_xlfn.XLOOKUP(TabTRADER[[#This Row],[ClickTick]],TabCalc[Ticker],TabCalc[NAfter])+TabTRADER[[#This Row],[L_Sn]])*(TabTRADER[[#This Row],[Agiotage]]-TabTRADER[[#This Row],[M]]))/(TabTRADER[[#This Row],[L_Sn]]*_xlfn.XLOOKUP(TabTRADER[[#This Row],[ClickTick]],TabCalc[Ticker],TabCalc[NAfter]))</f>
        <v>-2.7427929493926633</v>
      </c>
      <c r="BO50" s="687">
        <f ca="1">(TabTRADER[[#This Row],[M]]-TabTRADER[[#This Row],[Agiotage]])/(TabTRADER[[#This Row],[M]]-TabTRADER[[#This Row],[A]])-1</f>
        <v>-48.313305719283775</v>
      </c>
      <c r="BP50" s="1277">
        <f ca="1">_xlfn.XMATCH(TabTRADER[[#This Row],[ClickTick]]&amp;1, TabConsolid[#Headers])</f>
        <v>146</v>
      </c>
      <c r="BQ50" t="str">
        <f ca="1">IF(ABS(TabTRADER[[#This Row],[L_Bp]])&gt;=TabTRADER[[#This Row],[M]],"OK")</f>
        <v>OK</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+3,075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9,225$</v>
      </c>
      <c r="G51" s="225" t="str">
        <f ca="1">IFERROR(TRUNC(_xlfn.XLOOKUP(TabTRADER[[#This Row],[ClickTick]],TabCalc[Ticker],ListLastSalep),2)&amp;"x"&amp;_xlfn.XLOOKUP(TabTRADER[[#This Row],[ClickTick]],TabCalc[Ticker],ListLastSalen)&amp;"=   "&amp;TEXT(-_xlfn.XLOOKUP(TabTRADER[[#This Row],[ClickTick]],TabCalc[Ticker],ListReverseB),"#,#0")&amp;"$","")</f>
        <v>10.07x5000=   25$</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51" s="226" t="str">
        <f ca="1">IFERROR(TRUNC(TabCalc[[#This Row],[L_S1p]],2)&amp;"x"&amp;TabCalc[[#This Row],[L_S1n]]&amp;"=   "&amp;TEXT(TabCalc[[#This Row],[ReverseB1]],"#,#0"),"")</f>
        <v>10.58x5000=   2,525</v>
      </c>
      <c r="J51" s="295">
        <f ca="1">_xlfn.XLOOKUP(TabTRADER[[#This Row],[ClickTick]],TabCalc[Ticker],ListGravity)</f>
        <v>1.1910669975186106</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1.133621174719351</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6.5010570824524147E-2</v>
      </c>
      <c r="S51" s="683">
        <f ca="1">_xlfn.XLOOKUP(TabTRADER[[#This Row],[ClickTick]],TabCalc[Ticker],TabCalc[Rev(MinStock)])*(1-Commission)</f>
        <v>3067.0049999999919</v>
      </c>
      <c r="T51" s="782">
        <f ca="1">_xlfn.XLOOKUP(TabTRADER[[#This Row],[ClickTick]],TabCalc[Ticker],TabCalc[Agiotage])</f>
        <v>1.133621174719351</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25/25=&gt;-0.3% / -0.3%</v>
      </c>
      <c r="V51" s="739" t="str">
        <f ca="1">_xlfn.XLOOKUP(TabTRADER[[#This Row],[ClickTick]],[1]!RTData[Ticker_Symbol],[1]!RTData[Currency])</f>
        <v>USD</v>
      </c>
      <c r="W51" s="749">
        <f ca="1">_xlfn.XLOOKUP(TabTRADER[[#This Row],[ClickTick]],TabCalc[Ticker],TabCalc[M])</f>
        <v>10.074999999999999</v>
      </c>
      <c r="X51" s="1343"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-83/50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24.934999999995039</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3067.0049999999919</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6.5010570824524147E-2</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-2.1037220843673444E-3</v>
      </c>
      <c r="AL51" s="825" cm="1">
        <f t="array" aca="1" ref="AL51" ca="1">_xlfn.IFS(   TabTRADER[[#This Row],[Traps]]=SellMorePercentGain,                     MIN(TabTRADER[[#This Row],[L_Sn]],TabTRADER[[#This Row],[N]])*(TabTRADER[[#This Row],[M]]-TabTRADER[[#This Row],[L_Sp]])*(1-Commission)*TabTRADER[[#This Row],[Scale]],                    TRUE,"")</f>
        <v>24.934999999995039</v>
      </c>
      <c r="AM51" s="1175">
        <f ca="1">_xlfn.XLOOKUP(TabTRADER[[#This Row],[ClickTick]],TabCalc[Ticker],TabCalc[Ann%RevLB])</f>
        <v>0.54427454643787654</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6.2410570824524149E-2</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3266.3927457716618</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5,000x0.61</v>
      </c>
      <c r="AU51" s="765" cm="1">
        <f t="array" aca="1" ref="AU51" ca="1">_xlfn.IFS(TabTRADER[[#This Row],[Traps]]=ReSaleGain,"",         TabTRADER[[#This Row],[Traps]]=MDown, (TabTRADER[[#This Row],[M]]-TabTRADER[[#This Row],[A]])/TabTRADER[[#This Row],[A]]*ComFactor,             TRUE, IFERROR((TabTRADER[[#This Row],[M]]-TabTRADER[[#This Row],[A]])/TabTRADER[[#This Row],[A]]*ComFactor,""))</f>
        <v>6.4841543340380378E-2</v>
      </c>
      <c r="AV51" s="762" cm="1">
        <f t="array" aca="1" ref="AV51" ca="1">_xlfn.IFS(               TabTRADER[[#This Row],[Traps]]=NoStock,(TabTRADER[[#This Row],[L_Sp]]-TabTRADER[[#This Row],[M]])/TabTRADER[[#This Row],[M]]-Commission,             TabTRADER[[#This Row],[A]]&lt;&gt;0,(TabTRADER[[#This Row],[A]]-TabTRADER[[#This Row],[M]])/TabTRADER[[#This Row],[M]]-Commission)</f>
        <v>-6.3642183622828641E-2</v>
      </c>
      <c r="AW51" s="324">
        <f ca="1">_xlfn.XLOOKUP(TabTRADER[[#This Row],[ClickTick]],TabCalc[Ticker],TabCalc[L_Sn])</f>
        <v>5000</v>
      </c>
      <c r="AX51" s="728">
        <f ca="1">_xlfn.XLOOKUP(TabTRADER[[#This Row],[ClickTick]],TabCalc[Ticker],TabCalc[L_Sp])</f>
        <v>10.07</v>
      </c>
      <c r="AY51" s="764">
        <f ca="1">-IFERROR((TabTRADER[[#This Row],[M]]-TabTRADER[[#This Row],[L_Sp]])/TabTRADER[[#This Row],[L_Sp]],0)</f>
        <v>-4.9652432969205613E-4</v>
      </c>
      <c r="AZ51" s="729">
        <f ca="1">TabTRADER[[#This Row],[L_Sn]]*(TabTRADER[[#This Row],[M]]-TabTRADER[[#This Row],[L_Sp]])*(1-Commission)*TabTRADER[[#This Row],[Scale]]</f>
        <v>24.934999999995039</v>
      </c>
      <c r="BA51" s="692">
        <f ca="1">TabTRADER[[#This Row],[L_Sn]]*(TabTRADER[[#This Row],[Agiotage]]-TabTRADER[[#This Row],[M]])/(TabTRADER[[#This Row],[L_Bn]]*TabTRADER[[#This Row],[M]])</f>
        <v>-0.8874817692586251</v>
      </c>
      <c r="BB51" s="635">
        <f ca="1">IFERROR((TabTRADER[[#This Row],[M]]-TabTRADER[[#This Row],[A]])/TabTRADER[[#This Row],[A]],0)</f>
        <v>6.5010570824524147E-2</v>
      </c>
      <c r="BC51" s="638" t="str">
        <f ca="1">TEXT(_xlfn.XLOOKUP(TabTRADER[[#This Row],[ClickTick]],TabCalc[Ticker],TabCalc[NAfter]),"#,#0")&amp;" : "&amp;TEXT(_xlfn.XLOOKUP(TabTRADER[[#This Row],[ClickTick]],TabCalc[Ticker],TabCalc[NAfter])*(TabTRADER[[#This Row],[M]]-TabTRADER[[#This Row],[A]])*(1-Commission)*TabTRADER[[#This Row],[Scale]],"#,#0$")</f>
        <v>5,000 : 3,067$</v>
      </c>
      <c r="BD51" s="684">
        <f ca="1">_xlfn.XLOOKUP(TabTRADER[[#This Row],[ClickTick]],TabCalc[[#This Row],[Ticker]],TabCalc[[#This Row],[GL]])*(1-Commission)</f>
        <v>-82454.010729999951</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4.9627791563265568E-4</v>
      </c>
      <c r="BJ51" s="679">
        <f ca="1">TabTRADER[[#This Row],[L_Sn]]*TabTRADER[[#This Row],[L_Sp]]+TabTRADER[[#This Row],[SellMore]]*TabTRADER[[#This Row],[M]]</f>
        <v>100725</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10.0725</v>
      </c>
      <c r="BN51" s="687">
        <f ca="1">((_xlfn.XLOOKUP(TabTRADER[[#This Row],[ClickTick]],TabCalc[Ticker],TabCalc[NAfter])+TabTRADER[[#This Row],[L_Sn]])*(TabTRADER[[#This Row],[Agiotage]]-TabTRADER[[#This Row],[M]]))/(TabTRADER[[#This Row],[L_Sn]]*_xlfn.XLOOKUP(TabTRADER[[#This Row],[ClickTick]],TabCalc[Ticker],TabCalc[NAfter]))</f>
        <v>-3.5765515301122591E-3</v>
      </c>
      <c r="BO51" s="687">
        <f ca="1">(TabTRADER[[#This Row],[M]]-TabTRADER[[#This Row],[Agiotage]])/(TabTRADER[[#This Row],[M]]-TabTRADER[[#This Row],[A]])-1</f>
        <v>13.538827358179951</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43"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0.25077377748164403</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-30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5,650$</v>
      </c>
      <c r="G53" s="225" t="str">
        <f ca="1">IFERROR(TRUNC(_xlfn.XLOOKUP(TabTRADER[[#This Row],[ClickTick]],TabCalc[Ticker],ListLastSalep),2)&amp;"x"&amp;_xlfn.XLOOKUP(TabTRADER[[#This Row],[ClickTick]],TabCalc[Ticker],ListLastSalen)&amp;"=   "&amp;TEXT(-_xlfn.XLOOKUP(TabTRADER[[#This Row],[ClickTick]],TabCalc[Ticker],ListReverseB),"#,#0")&amp;"$","")</f>
        <v>107.37x1800=   18,036$</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8.5% = 0</v>
      </c>
      <c r="I53" s="226" t="str">
        <f ca="1">IFERROR(TRUNC(TabCalc[[#This Row],[L_S1p]],2)&amp;"x"&amp;TabCalc[[#This Row],[L_S1n]]&amp;"=   "&amp;TEXT(TabCalc[[#This Row],[ReverseB1]],"#,#0"),"")</f>
        <v>114.13x1800=   -5,868</v>
      </c>
      <c r="J53" s="295">
        <f ca="1">_xlfn.XLOOKUP(TabTRADER[[#This Row],[ClickTick]],TabCalc[Ticker],ListGravity)</f>
        <v>1.0808416389811739</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35217</v>
      </c>
      <c r="M53" s="323">
        <f ca="1">_xlfn.XLOOKUP(TabTRADER[[#This Row],[ClickTick]],TabCalc[Ticker],TabCalc[Agiotage])</f>
        <v>0.81372672061593609</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-8.5113626691628492E-4</v>
      </c>
      <c r="S53" s="683">
        <f ca="1">_xlfn.XLOOKUP(TabTRADER[[#This Row],[ClickTick]],TabCalc[Ticker],TabCalc[Rev(MinStock)])*(1-Commission)</f>
        <v>-29.921999999998299</v>
      </c>
      <c r="T53" s="782">
        <f ca="1">_xlfn.XLOOKUP(TabTRADER[[#This Row],[ClickTick]],TabCalc[Ticker],TabCalc[Agiotage])</f>
        <v>0.81372672061593609</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1,110/1,110=&gt;2.5% / 2.5%</v>
      </c>
      <c r="V53" s="739" t="str">
        <f ca="1">_xlfn.XLOOKUP(TabTRADER[[#This Row],[ClickTick]],[1]!RTData[Ticker_Symbol],[1]!RTData[Currency])</f>
        <v>USD</v>
      </c>
      <c r="W53" s="749">
        <f ca="1">_xlfn.XLOOKUP(TabTRADER[[#This Row],[ClickTick]],TabCalc[Ticker],TabCalc[M])</f>
        <v>117.39</v>
      </c>
      <c r="X53" s="1343"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177" t="str" cm="1">
        <f t="array" aca="1" ref="AF53" ca="1">_xlfn.IFS(       TabTRADER[[#This Row],[Traps]]=RePurchaseGain,TEXT(TabTRADER[[#This Row],[L_Sn]],"#,#0")&amp;" x "&amp;TEXT(TabTRADER[[#This Row],[L_Sp]],"#,#0.#0"),     TabTRADER[[#This Row],[Traps]]=ReSaleGain,TEXT(TabTRADER[[#This Row],[L_Bn]],"#0,#0")&amp;" x "&amp;TEXT(TabTRADER[[#This Row],[L_Bp]],"#,#0.#0"),               TRUE,"")</f>
        <v/>
      </c>
      <c r="AG53" s="1177"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177"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29.921999999998299</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58695</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-3.9493491543433928E-2</v>
      </c>
      <c r="AK53" s="1186"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-1.7481386830224522E-3</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-7.2954537164252996E-3</v>
      </c>
      <c r="AN53" s="1282">
        <f ca="1">_xlfn.XLOOKUP(TabTRADER[[#This Row],[ClickTick]],TabCalc[Ticker],TabCalc[Up20])</f>
        <v>0</v>
      </c>
      <c r="AO53" s="1187"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8.518613169775476E-4</v>
      </c>
      <c r="AP53" s="825" cm="1">
        <f t="array" aca="1" ref="AP53" ca="1">_xlfn.IFS(         TabTRADER[[#This Row],[Traps]]=MDown,TabTRADER[[#This Row],[L_Bn]]*TabTRADER[[#This Row],[M]]*(-(TabTRADER[[#This Row],[L_Bp]]+TabTRADER[[#This Row],[M]])/TabTRADER[[#This Row],[M]])*(1-Commission)*TabTRADER[[#This Row],[Scale]],                               TRUE,"")</f>
        <v>29.921999999998299</v>
      </c>
      <c r="AQ53" s="1186" cm="1">
        <f t="array" aca="1" ref="AQ53" ca="1">_xlfn.IFS(   TabTRADER[[#This Row],[Traps]]=MUp,TabTRADER[[#This Row],[TakeGain_A]]-Commission,        TabTRADER[[#This Row],[Traps]]=MDown,(TabTRADER[[#This Row],[A]]-TabTRADER[[#This Row],[M]])/TabTRADER[[#This Row],[M]]-Commission,                              TRUE,"")</f>
        <v>-4.0593014737200728E-2</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-2224.2019999999966</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3" s="736"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53" s="765" cm="1">
        <f t="array" aca="1" ref="AU53" ca="1">_xlfn.IFS(TabTRADER[[#This Row],[Traps]]=ReSaleGain,"",         TabTRADER[[#This Row],[Traps]]=MDown, (TabTRADER[[#This Row],[M]]-TabTRADER[[#This Row],[A]])/TabTRADER[[#This Row],[A]]*ComFactor,             TRUE, IFERROR((TabTRADER[[#This Row],[M]]-TabTRADER[[#This Row],[A]])/TabTRADER[[#This Row],[A]]*ComFactor,""))</f>
        <v>3.9390808465421E-2</v>
      </c>
      <c r="AV53" s="762" cm="1">
        <f t="array" aca="1" ref="AV53" ca="1">_xlfn.IFS(               TabTRADER[[#This Row],[Traps]]=NoStock,(TabTRADER[[#This Row],[L_Sp]]-TabTRADER[[#This Row],[M]])/TabTRADER[[#This Row],[M]]-Commission,             TabTRADER[[#This Row],[A]]&lt;&gt;0,(TabTRADER[[#This Row],[A]]-TabTRADER[[#This Row],[M]])/TabTRADER[[#This Row],[M]]-Commission)</f>
        <v>-4.0593014737200728E-2</v>
      </c>
      <c r="AW53" s="324">
        <f ca="1">_xlfn.XLOOKUP(TabTRADER[[#This Row],[ClickTick]],TabCalc[Ticker],TabCalc[L_Sn])</f>
        <v>1800</v>
      </c>
      <c r="AX53" s="728">
        <f ca="1">_xlfn.XLOOKUP(TabTRADER[[#This Row],[ClickTick]],TabCalc[Ticker],TabCalc[L_Sp])</f>
        <v>107.37</v>
      </c>
      <c r="AY53" s="764">
        <f ca="1">-IFERROR((TabTRADER[[#This Row],[M]]-TabTRADER[[#This Row],[L_Sp]])/TabTRADER[[#This Row],[L_Sp]],0)</f>
        <v>-9.3322157027102504E-2</v>
      </c>
      <c r="AZ53" s="729">
        <f ca="1">TabTRADER[[#This Row],[L_Sn]]*(TabTRADER[[#This Row],[M]]-TabTRADER[[#This Row],[L_Sp]])*(1-Commission)*TabTRADER[[#This Row],[Scale]]</f>
        <v>17989.106399999993</v>
      </c>
      <c r="BA53" s="692">
        <f ca="1">TabTRADER[[#This Row],[L_Sn]]*(TabTRADER[[#This Row],[Agiotage]]-TabTRADER[[#This Row],[M]])/(TabTRADER[[#This Row],[L_Bn]]*TabTRADER[[#This Row],[M]])</f>
        <v>-5.9584090610469751</v>
      </c>
      <c r="BB53" s="635">
        <f ca="1">IFERROR((TabTRADER[[#This Row],[M]]-TabTRADER[[#This Row],[A]])/TabTRADER[[#This Row],[A]],0)</f>
        <v>3.9493491543433928E-2</v>
      </c>
      <c r="BC53" s="638" t="str">
        <f ca="1">TEXT(_xlfn.XLOOKUP(TabTRADER[[#This Row],[ClickTick]],TabCalc[Ticker],TabCalc[NAfter]),"#,#0")&amp;" : "&amp;TEXT(_xlfn.XLOOKUP(TabTRADER[[#This Row],[ClickTick]],TabCalc[Ticker],TabCalc[NAfter])*(TabTRADER[[#This Row],[M]]-TabTRADER[[#This Row],[A]])*(1-Commission)*TabTRADER[[#This Row],[Scale]],"#,#0$")</f>
        <v>500 : 2,224$</v>
      </c>
      <c r="BD53" s="684">
        <f ca="1">_xlfn.XLOOKUP(TabTRADER[[#This Row],[ClickTick]],TabCalc[[#This Row],[Ticker]],TabCalc[[#This Row],[GL]])*(1-Commission)</f>
        <v>10396.997340000005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8.518613169775476E-4</v>
      </c>
      <c r="BJ53" s="679">
        <f ca="1">TabTRADER[[#This Row],[L_Sn]]*TabTRADER[[#This Row],[L_Sp]]+TabTRADER[[#This Row],[SellMore]]*TabTRADER[[#This Row],[M]]</f>
        <v>216744</v>
      </c>
      <c r="BK53" s="679">
        <f ca="1">INDEX(
  INDEX(TabConsolid[], , _xlfn.XMATCH(TabTRADER[[#This Row],[ClickTick]]&amp;1, TabConsolid[#Headers])),
  MATCH(
    -TabTRADER[[#This Row],[M]],
    INDEX(TabConsolid[], , _xlfn.XMATCH(TabTRADER[[#This Row],[ClickTick]]&amp;2, TabConsolid[#Headers])),
    -1
  )
)</f>
        <v>200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108.372</v>
      </c>
      <c r="BN53" s="687">
        <f ca="1">((_xlfn.XLOOKUP(TabTRADER[[#This Row],[ClickTick]],TabCalc[Ticker],TabCalc[NAfter])+TabTRADER[[#This Row],[L_Sn]])*(TabTRADER[[#This Row],[Agiotage]]-TabTRADER[[#This Row],[M]]))/(TabTRADER[[#This Row],[L_Sn]]*_xlfn.XLOOKUP(TabTRADER[[#This Row],[ClickTick]],TabCalc[Ticker],TabCalc[NAfter]))</f>
        <v>-0.29791714282509263</v>
      </c>
      <c r="BO53" s="687">
        <f ca="1">(TabTRADER[[#This Row],[M]]-TabTRADER[[#This Row],[Agiotage]])/(TabTRADER[[#This Row],[M]]-TabTRADER[[#This Row],[A]])-1</f>
        <v>25.138177865332786</v>
      </c>
      <c r="BP53" s="1277">
        <f ca="1">_xlfn.XMATCH(TabTRADER[[#This Row],[ClickTick]]&amp;1, TabConsolid[#Headers])</f>
        <v>155</v>
      </c>
      <c r="BQ53" t="str">
        <f ca="1">IF(ABS(TabTRADER[[#This Row],[L_Bp]])&gt;=TabTRADER[[#This Row],[M]],"OK")</f>
        <v>OK</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-308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-13,782$</v>
      </c>
      <c r="G54" s="225" t="str">
        <f ca="1">IFERROR(TRUNC(_xlfn.XLOOKUP(TabTRADER[[#This Row],[ClickTick]],TabCalc[Ticker],ListLastSalep),2)&amp;"x"&amp;_xlfn.XLOOKUP(TabTRADER[[#This Row],[ClickTick]],TabCalc[Ticker],ListLastSalen)&amp;"=   "&amp;TEXT(-_xlfn.XLOOKUP(TabTRADER[[#This Row],[ClickTick]],TabCalc[Ticker],ListReverseB),"#,#0")&amp;"$","")</f>
        <v>10.55x7200=   -28,451$</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59.9% = 1,265</v>
      </c>
      <c r="I54" s="226" t="str">
        <f ca="1">IFERROR(TRUNC(TabCalc[[#This Row],[L_S1p]],2)&amp;"x"&amp;TabCalc[[#This Row],[L_S1n]]&amp;"=   "&amp;TEXT(TabCalc[[#This Row],[ReverseB1]],"#,#0"),"")</f>
        <v>8.63x3000=   6,095</v>
      </c>
      <c r="J54" s="295">
        <f ca="1">_xlfn.XLOOKUP(TabTRADER[[#This Row],[ClickTick]],TabCalc[Ticker],ListGravity)</f>
        <v>1.7276653784951126</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60706.2</v>
      </c>
      <c r="M54" s="323">
        <f ca="1">_xlfn.XLOOKUP(TabTRADER[[#This Row],[ClickTick]],TabCalc[Ticker],TabCalc[Agiotage])</f>
        <v>0.78591379491869373</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-9.2342342342343169E-3</v>
      </c>
      <c r="S54" s="683">
        <f ca="1">_xlfn.XLOOKUP(TabTRADER[[#This Row],[ClickTick]],TabCalc[Ticker],TabCalc[Rev(MinStock)])*(1-Commission)</f>
        <v>-306.70050000000276</v>
      </c>
      <c r="T54" s="782">
        <f ca="1">_xlfn.XLOOKUP(TabTRADER[[#This Row],[ClickTick]],TabCalc[Ticker],TabCalc[Agiotage])</f>
        <v>0.78591379491869373</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-765/-765=&gt;-4.0% / -4.0%</v>
      </c>
      <c r="V54" s="739" t="str">
        <f ca="1">_xlfn.XLOOKUP(TabTRADER[[#This Row],[ClickTick]],[1]!RTData[Ticker_Symbol],[1]!RTData[Currency])</f>
        <v>USD</v>
      </c>
      <c r="W54" s="749">
        <f ca="1">_xlfn.XLOOKUP(TabTRADER[[#This Row],[ClickTick]],TabCalc[Ticker],TabCalc[M])</f>
        <v>6.5984999999999996</v>
      </c>
      <c r="X54" s="1343"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-57/66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306.70050000000276</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65985</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0.20180722891566269</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6.7203000681974028E-3</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-0.11463187325256392</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9.3203000681974027E-3</v>
      </c>
      <c r="AP54" s="825" cm="1">
        <f t="array" aca="1" ref="AP54" ca="1">_xlfn.IFS(         TabTRADER[[#This Row],[Traps]]=MDown,TabTRADER[[#This Row],[L_Bn]]*TabTRADER[[#This Row],[M]]*(-(TabTRADER[[#This Row],[L_Bp]]+TabTRADER[[#This Row],[M]])/TabTRADER[[#This Row],[M]])*(1-Commission)*TabTRADER[[#This Row],[Scale]],                               TRUE,"")</f>
        <v>306.70050000000276</v>
      </c>
      <c r="AQ54" s="1186" cm="1">
        <f t="array" aca="1" ref="AQ54" ca="1">_xlfn.IFS(   TabTRADER[[#This Row],[Traps]]=MUp,TabTRADER[[#This Row],[TakeGain_A]]-Commission,        TabTRADER[[#This Row],[Traps]]=MDown,(TabTRADER[[#This Row],[A]]-TabTRADER[[#This Row],[M]])/TabTRADER[[#This Row],[M]]-Commission,                              TRUE,"")</f>
        <v>0.25023018867924535</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16639.624200000002</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U54" s="765" cm="1">
        <f t="array" aca="1" ref="AU54" ca="1">_xlfn.IFS(TabTRADER[[#This Row],[Traps]]=ReSaleGain,"",         TabTRADER[[#This Row],[Traps]]=MDown, (TabTRADER[[#This Row],[M]]-TabTRADER[[#This Row],[A]])/TabTRADER[[#This Row],[A]]*ComFactor,             TRUE, IFERROR((TabTRADER[[#This Row],[M]]-TabTRADER[[#This Row],[A]])/TabTRADER[[#This Row],[A]]*ComFactor,""))</f>
        <v>-0.20128253012048195</v>
      </c>
      <c r="AV54" s="762" cm="1">
        <f t="array" aca="1" ref="AV54" ca="1">_xlfn.IFS(               TabTRADER[[#This Row],[Traps]]=NoStock,(TabTRADER[[#This Row],[L_Sp]]-TabTRADER[[#This Row],[M]])/TabTRADER[[#This Row],[M]]-Commission,             TabTRADER[[#This Row],[A]]&lt;&gt;0,(TabTRADER[[#This Row],[A]]-TabTRADER[[#This Row],[M]])/TabTRADER[[#This Row],[M]]-Commission)</f>
        <v>0.25023018867924535</v>
      </c>
      <c r="AW54" s="324">
        <f ca="1">_xlfn.XLOOKUP(TabTRADER[[#This Row],[ClickTick]],TabCalc[Ticker],TabCalc[L_Sn])</f>
        <v>7200</v>
      </c>
      <c r="AX54" s="728">
        <f ca="1">_xlfn.XLOOKUP(TabTRADER[[#This Row],[ClickTick]],TabCalc[Ticker],TabCalc[L_Sp])</f>
        <v>10.55</v>
      </c>
      <c r="AY54" s="764">
        <f ca="1">-IFERROR((TabTRADER[[#This Row],[M]]-TabTRADER[[#This Row],[L_Sp]])/TabTRADER[[#This Row],[L_Sp]],0)</f>
        <v>0.37454976303317544</v>
      </c>
      <c r="AZ54" s="729">
        <f ca="1">TabTRADER[[#This Row],[L_Sn]]*(TabTRADER[[#This Row],[M]]-TabTRADER[[#This Row],[L_Sp]])*(1-Commission)*TabTRADER[[#This Row],[Scale]]</f>
        <v>-28376.827920000007</v>
      </c>
      <c r="BA54" s="692">
        <f ca="1">TabTRADER[[#This Row],[L_Sn]]*(TabTRADER[[#This Row],[Agiotage]]-TabTRADER[[#This Row],[M]])/(TabTRADER[[#This Row],[L_Bn]]*TabTRADER[[#This Row],[M]])</f>
        <v>-1.268488919499444</v>
      </c>
      <c r="BB54" s="635">
        <f ca="1">IFERROR((TabTRADER[[#This Row],[M]]-TabTRADER[[#This Row],[A]])/TabTRADER[[#This Row],[A]],0)</f>
        <v>-0.20180722891566269</v>
      </c>
      <c r="BC54" s="638" t="str">
        <f ca="1">TEXT(_xlfn.XLOOKUP(TabTRADER[[#This Row],[ClickTick]],TabCalc[Ticker],TabCalc[NAfter]),"#,#0")&amp;" : "&amp;TEXT(_xlfn.XLOOKUP(TabTRADER[[#This Row],[ClickTick]],TabCalc[Ticker],TabCalc[NAfter])*(TabTRADER[[#This Row],[M]]-TabTRADER[[#This Row],[A]])*(1-Commission)*TabTRADER[[#This Row],[Scale]],"#,#0$")</f>
        <v>10,000 : -16,640$</v>
      </c>
      <c r="BD54" s="684">
        <f ca="1">_xlfn.XLOOKUP(TabTRADER[[#This Row],[ClickTick]],TabCalc[[#This Row],[Ticker]],TabCalc[[#This Row],[GL]])*(1-Commission)</f>
        <v>-56358.715361999988</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9.3203000681974027E-3</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-1.3885622601027565E-3</v>
      </c>
      <c r="BO54" s="687">
        <f ca="1">(TabTRADER[[#This Row],[M]]-TabTRADER[[#This Row],[Agiotage]])/(TabTRADER[[#This Row],[M]]-TabTRADER[[#This Row],[A]])-1</f>
        <v>-4.484137268525628</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-3,566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-22.9%</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-4,600$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1.9658076923076924</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85775.82</v>
      </c>
      <c r="M55" s="323">
        <f ca="1">_xlfn.XLOOKUP(TabTRADER[[#This Row],[ClickTick]],TabCalc[Ticker],TabCalc[Agiotage])</f>
        <v>0.32673879443585779</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-0.18604717900126946</v>
      </c>
      <c r="S55" s="683">
        <f ca="1">_xlfn.XLOOKUP(TabTRADER[[#This Row],[ClickTick]],TabCalc[Ticker],TabCalc[Rev(MinStock)])*(1-Commission)</f>
        <v>-3556.4591020000003</v>
      </c>
      <c r="T55" s="782">
        <f ca="1">_xlfn.XLOOKUP(TabTRADER[[#This Row],[ClickTick]],TabCalc[Ticker],TabCalc[Agiotage])</f>
        <v>0.32673879443585779</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55" s="739" t="str">
        <f ca="1">_xlfn.XLOOKUP(TabTRADER[[#This Row],[ClickTick]],[1]!RTData[Ticker_Symbol],[1]!RTData[Currency])</f>
        <v>EUR</v>
      </c>
      <c r="W55" s="749">
        <f ca="1">_xlfn.XLOOKUP(TabTRADER[[#This Row],[ClickTick]],TabCalc[Ticker],TabCalc[M])</f>
        <v>0.78</v>
      </c>
      <c r="X55" s="1343"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-245/394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3556.4591020000003</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393900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0.38301268715547254</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0.22597243589743593</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-0.63185834377789629</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0.22857243589743592</v>
      </c>
      <c r="AP55" s="825" cm="1">
        <f t="array" aca="1" ref="AP55" ca="1">_xlfn.IFS(         TabTRADER[[#This Row],[Traps]]=MDown,TabTRADER[[#This Row],[L_Bn]]*TabTRADER[[#This Row],[M]]*(-(TabTRADER[[#This Row],[L_Bp]]+TabTRADER[[#This Row],[M]])/TabTRADER[[#This Row],[M]])*(1-Commission)*TabTRADER[[#This Row],[Scale]],                               TRUE,"")</f>
        <v>3556.4591020000003</v>
      </c>
      <c r="AQ55" s="1186" cm="1">
        <f t="array" aca="1" ref="AQ55" ca="1">_xlfn.IFS(   TabTRADER[[#This Row],[Traps]]=MUp,TabTRADER[[#This Row],[TakeGain_A]]-Commission,        TabTRADER[[#This Row],[Traps]]=MDown,(TabTRADER[[#This Row],[A]]-TabTRADER[[#This Row],[M]])/TabTRADER[[#This Row],[M]]-Commission,                              TRUE,"")</f>
        <v>0.61817887045950748</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243889.03260160759</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55" s="765" cm="1">
        <f t="array" aca="1" ref="AU55" ca="1">_xlfn.IFS(TabTRADER[[#This Row],[Traps]]=ReSaleGain,"",         TabTRADER[[#This Row],[Traps]]=MDown, (TabTRADER[[#This Row],[M]]-TabTRADER[[#This Row],[A]])/TabTRADER[[#This Row],[A]]*ComFactor,             TRUE, IFERROR((TabTRADER[[#This Row],[M]]-TabTRADER[[#This Row],[A]])/TabTRADER[[#This Row],[A]]*ComFactor,""))</f>
        <v>-0.38201685416886827</v>
      </c>
      <c r="AV55" s="762" cm="1">
        <f t="array" aca="1" ref="AV55" ca="1">_xlfn.IFS(               TabTRADER[[#This Row],[Traps]]=NoStock,(TabTRADER[[#This Row],[L_Sp]]-TabTRADER[[#This Row],[M]])/TabTRADER[[#This Row],[M]]-Commission,             TabTRADER[[#This Row],[A]]&lt;&gt;0,(TabTRADER[[#This Row],[A]]-TabTRADER[[#This Row],[M]])/TabTRADER[[#This Row],[M]]-Commission)</f>
        <v>0.61817887045950748</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-0.38301268715547254</v>
      </c>
      <c r="BC55" s="638" t="str">
        <f ca="1">TEXT(_xlfn.XLOOKUP(TabTRADER[[#This Row],[ClickTick]],TabCalc[Ticker],TabCalc[NAfter]),"#,#0")&amp;" : "&amp;TEXT(_xlfn.XLOOKUP(TabTRADER[[#This Row],[ClickTick]],TabCalc[Ticker],TabCalc[NAfter])*(TabTRADER[[#This Row],[M]]-TabTRADER[[#This Row],[A]])*(1-Commission)*TabTRADER[[#This Row],[Scale]],"#,#0$")</f>
        <v>505,000 : -243,889$</v>
      </c>
      <c r="BD55" s="684">
        <f ca="1">_xlfn.XLOOKUP(TabTRADER[[#This Row],[ClickTick]],TabCalc[[#This Row],[Ticker]],TabCalc[[#This Row],[GL]])*(1-Commission)</f>
        <v>-243889.03260160759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AMY</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0.22857243589743592</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-1.9360887384383403</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-2,250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-4,920$</v>
      </c>
      <c r="G56" s="225" t="str">
        <f ca="1">IFERROR(TRUNC(_xlfn.XLOOKUP(TabTRADER[[#This Row],[ClickTick]],TabCalc[Ticker],ListLastSalep),2)&amp;"x"&amp;_xlfn.XLOOKUP(TabTRADER[[#This Row],[ClickTick]],TabCalc[Ticker],ListLastSalen)&amp;"=   "&amp;TEXT(-_xlfn.XLOOKUP(TabTRADER[[#This Row],[ClickTick]],TabCalc[Ticker],ListReverseB),"#,#0")&amp;"$","")</f>
        <v>3.52x5000=   -6,475$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58.2% = 3,861</v>
      </c>
      <c r="I56" s="226" t="str">
        <f ca="1">IFERROR(TRUNC(TabCalc[[#This Row],[L_S1p]],2)&amp;"x"&amp;TabCalc[[#This Row],[L_S1n]]&amp;"=   "&amp;TEXT(TabCalc[[#This Row],[ReverseB1]],"#,#0"),"")</f>
        <v>3.96x5000=   8,676</v>
      </c>
      <c r="J56" s="295">
        <f ca="1">_xlfn.XLOOKUP(TabTRADER[[#This Row],[ClickTick]],TabCalc[Ticker],ListGravity)</f>
        <v>1.4606741573033708</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0.54788075577674089</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-9.1836734693877584E-2</v>
      </c>
      <c r="S56" s="683">
        <f ca="1">_xlfn.XLOOKUP(TabTRADER[[#This Row],[ClickTick]],TabCalc[Ticker],TabCalc[Rev(MinStock)])*(1-Commission)</f>
        <v>-2244.150000000001</v>
      </c>
      <c r="T56" s="782">
        <f ca="1">_xlfn.XLOOKUP(TabTRADER[[#This Row],[ClickTick]],TabCalc[Ticker],TabCalc[Agiotage])</f>
        <v>0.54788075577674089</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50/50=&gt;-1.1% / -1.1%</v>
      </c>
      <c r="V56" s="739" t="str">
        <f ca="1">_xlfn.XLOOKUP(TabTRADER[[#This Row],[ClickTick]],[1]!RTData[Ticker_Symbol],[1]!RTData[Currency])</f>
        <v>USD</v>
      </c>
      <c r="W56" s="749">
        <f ca="1">_xlfn.XLOOKUP(TabTRADER[[#This Row],[ClickTick]],TabCalc[Ticker],TabCalc[M])</f>
        <v>2.2250000000000001</v>
      </c>
      <c r="X56" s="1343"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6458.165</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6458.165</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0.36789772727272724</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-7.8717201166180792E-2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-2244.150000000001</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-9.15979591836735E-2</v>
      </c>
      <c r="AV56" s="762" cm="1">
        <f t="array" aca="1" ref="AV56" ca="1">_xlfn.IFS(               TabTRADER[[#This Row],[Traps]]=NoStock,(TabTRADER[[#This Row],[L_Sp]]-TabTRADER[[#This Row],[M]])/TabTRADER[[#This Row],[M]]-Commission,             TabTRADER[[#This Row],[A]]&lt;&gt;0,(TabTRADER[[#This Row],[A]]-TabTRADER[[#This Row],[M]])/TabTRADER[[#This Row],[M]]-Commission)</f>
        <v>9.8523595505618011E-2</v>
      </c>
      <c r="AW56" s="324">
        <f ca="1">_xlfn.XLOOKUP(TabTRADER[[#This Row],[ClickTick]],TabCalc[Ticker],TabCalc[L_Sn])</f>
        <v>5000</v>
      </c>
      <c r="AX56" s="728">
        <f ca="1">_xlfn.XLOOKUP(TabTRADER[[#This Row],[ClickTick]],TabCalc[Ticker],TabCalc[L_Sp])</f>
        <v>3.52</v>
      </c>
      <c r="AY56" s="764">
        <f ca="1">-IFERROR((TabTRADER[[#This Row],[M]]-TabTRADER[[#This Row],[L_Sp]])/TabTRADER[[#This Row],[L_Sp]],0)</f>
        <v>0.36789772727272724</v>
      </c>
      <c r="AZ56" s="729">
        <f ca="1">TabTRADER[[#This Row],[L_Sn]]*(TabTRADER[[#This Row],[M]]-TabTRADER[[#This Row],[L_Sp]])*(1-Commission)*TabTRADER[[#This Row],[Scale]]</f>
        <v>-6458.165</v>
      </c>
      <c r="BA56" s="692">
        <f ca="1">TabTRADER[[#This Row],[L_Sn]]*(TabTRADER[[#This Row],[Agiotage]]-TabTRADER[[#This Row],[M]])/(TabTRADER[[#This Row],[L_Bn]]*TabTRADER[[#This Row],[M]])</f>
        <v>-0.37688072903893471</v>
      </c>
      <c r="BB56" s="635">
        <f ca="1">IFERROR((TabTRADER[[#This Row],[M]]-TabTRADER[[#This Row],[A]])/TabTRADER[[#This Row],[A]],0)</f>
        <v>-9.1836734693877584E-2</v>
      </c>
      <c r="BC56" s="638" t="str">
        <f ca="1">TEXT(_xlfn.XLOOKUP(TabTRADER[[#This Row],[ClickTick]],TabCalc[Ticker],TabCalc[NAfter]),"#,#0")&amp;" : "&amp;TEXT(_xlfn.XLOOKUP(TabTRADER[[#This Row],[ClickTick]],TabCalc[Ticker],TabCalc[NAfter])*(TabTRADER[[#This Row],[M]]-TabTRADER[[#This Row],[A]])*(1-Commission)*TabTRADER[[#This Row],[Scale]],"#,#0$")</f>
        <v>10,000 : -2,244$</v>
      </c>
      <c r="BD56" s="684">
        <f ca="1">_xlfn.XLOOKUP(TabTRADER[[#This Row],[ClickTick]],TabCalc[[#This Row],[Ticker]],TabCalc[[#This Row],[GL]])*(1-Commission)</f>
        <v>9236.3379209999966</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-5.0313577326697773E-4</v>
      </c>
      <c r="BO56" s="687">
        <f ca="1">(TabTRADER[[#This Row],[M]]-TabTRADER[[#This Row],[Agiotage]])/(TabTRADER[[#This Row],[M]]-TabTRADER[[#This Row],[A]])-1</f>
        <v>-8.4538633076589278</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-10,320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-29.5%</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-4,010$</v>
      </c>
      <c r="G57" s="225" t="str">
        <f ca="1">IFERROR(TRUNC(_xlfn.XLOOKUP(TabTRADER[[#This Row],[ClickTick]],TabCalc[Ticker],ListLastSalep),2)&amp;"x"&amp;_xlfn.XLOOKUP(TabTRADER[[#This Row],[ClickTick]],TabCalc[Ticker],ListLastSalen)&amp;"=   "&amp;TEXT(-_xlfn.XLOOKUP(TabTRADER[[#This Row],[ClickTick]],TabCalc[Ticker],ListReverseB),"#,#0")&amp;"$","")</f>
        <v>40.01x1000=   -16,670$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71.4% = 300</v>
      </c>
      <c r="I57" s="226" t="str">
        <f ca="1">IFERROR(TRUNC(TabCalc[[#This Row],[L_S1p]],2)&amp;"x"&amp;TabCalc[[#This Row],[L_S1n]]&amp;"=   "&amp;TEXT(TabCalc[[#This Row],[ReverseB1]],"#,#0"),"")</f>
        <v>40.59x1000=   17,255</v>
      </c>
      <c r="J57" s="295">
        <f ca="1">_xlfn.XLOOKUP(TabTRADER[[#This Row],[ClickTick]],TabCalc[Ticker],ListGravity)</f>
        <v>1.3658003427592118</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233400</v>
      </c>
      <c r="M57" s="323">
        <f ca="1">_xlfn.XLOOKUP(TabTRADER[[#This Row],[ClickTick]],TabCalc[Ticker],TabCalc[Agiotage])</f>
        <v>0.97018179551316519</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-0.22766379880873591</v>
      </c>
      <c r="S57" s="683">
        <f ca="1">_xlfn.XLOOKUP(TabTRADER[[#This Row],[ClickTick]],TabCalc[Ticker],TabCalc[Rev(MinStock)])*(1-Commission)</f>
        <v>-10293.167999999998</v>
      </c>
      <c r="T57" s="782">
        <f ca="1">_xlfn.XLOOKUP(TabTRADER[[#This Row],[ClickTick]],TabCalc[Ticker],TabCalc[Agiotage])</f>
        <v>0.97018179551316519</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57" s="739" t="str">
        <f ca="1">_xlfn.XLOOKUP(TabTRADER[[#This Row],[ClickTick]],[1]!RTData[Ticker_Symbol],[1]!RTData[Currency])</f>
        <v>EUR</v>
      </c>
      <c r="W57" s="749">
        <f ca="1">_xlfn.XLOOKUP(TabTRADER[[#This Row],[ClickTick]],TabCalc[Ticker],TabCalc[M])</f>
        <v>23.34</v>
      </c>
      <c r="X57" s="1343"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-119/280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10293.167999999998</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280080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0.30613154960981054</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0.29217292202227929</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-0.61163408635182781</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0.29477292202227928</v>
      </c>
      <c r="AP57" s="825" cm="1">
        <f t="array" aca="1" ref="AP57" ca="1">_xlfn.IFS(         TabTRADER[[#This Row],[Traps]]=MDown,TabTRADER[[#This Row],[L_Bn]]*TabTRADER[[#This Row],[M]]*(-(TabTRADER[[#This Row],[L_Bp]]+TabTRADER[[#This Row],[M]])/TabTRADER[[#This Row],[M]])*(1-Commission)*TabTRADER[[#This Row],[Scale]],                               TRUE,"")</f>
        <v>10293.167999999998</v>
      </c>
      <c r="AQ57" s="1186" cm="1">
        <f t="array" aca="1" ref="AQ57" ca="1">_xlfn.IFS(   TabTRADER[[#This Row],[Traps]]=MUp,TabTRADER[[#This Row],[TakeGain_A]]-Commission,        TabTRADER[[#This Row],[Traps]]=MDown,(TabTRADER[[#This Row],[A]]-TabTRADER[[#This Row],[M]])/TabTRADER[[#This Row],[M]]-Commission,                              TRUE,"")</f>
        <v>0.43859537275064281</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123248.71800000002</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-6.88</v>
      </c>
      <c r="AU57" s="765" cm="1">
        <f t="array" aca="1" ref="AU57" ca="1">_xlfn.IFS(TabTRADER[[#This Row],[Traps]]=ReSaleGain,"",         TabTRADER[[#This Row],[Traps]]=MDown, (TabTRADER[[#This Row],[M]]-TabTRADER[[#This Row],[A]])/TabTRADER[[#This Row],[A]]*ComFactor,             TRUE, IFERROR((TabTRADER[[#This Row],[M]]-TabTRADER[[#This Row],[A]])/TabTRADER[[#This Row],[A]]*ComFactor,""))</f>
        <v>-0.30533560758082501</v>
      </c>
      <c r="AV57" s="762" cm="1">
        <f t="array" aca="1" ref="AV57" ca="1">_xlfn.IFS(               TabTRADER[[#This Row],[Traps]]=NoStock,(TabTRADER[[#This Row],[L_Sp]]-TabTRADER[[#This Row],[M]])/TabTRADER[[#This Row],[M]]-Commission,             TabTRADER[[#This Row],[A]]&lt;&gt;0,(TabTRADER[[#This Row],[A]]-TabTRADER[[#This Row],[M]])/TabTRADER[[#This Row],[M]]-Commission)</f>
        <v>0.43859537275064281</v>
      </c>
      <c r="AW57" s="324">
        <f ca="1">_xlfn.XLOOKUP(TabTRADER[[#This Row],[ClickTick]],TabCalc[Ticker],TabCalc[L_Sn])</f>
        <v>1000</v>
      </c>
      <c r="AX57" s="728">
        <f ca="1">_xlfn.XLOOKUP(TabTRADER[[#This Row],[ClickTick]],TabCalc[Ticker],TabCalc[L_Sp])</f>
        <v>40.01</v>
      </c>
      <c r="AY57" s="764">
        <f ca="1">-IFERROR((TabTRADER[[#This Row],[M]]-TabTRADER[[#This Row],[L_Sp]])/TabTRADER[[#This Row],[L_Sp]],0)</f>
        <v>0.41664583854036491</v>
      </c>
      <c r="AZ57" s="729">
        <f ca="1">TabTRADER[[#This Row],[L_Sn]]*(TabTRADER[[#This Row],[M]]-TabTRADER[[#This Row],[L_Sp]])*(1-Commission)*TabTRADER[[#This Row],[Scale]]</f>
        <v>-16626.657999999996</v>
      </c>
      <c r="BA57" s="692">
        <f ca="1">TabTRADER[[#This Row],[L_Sn]]*(TabTRADER[[#This Row],[Agiotage]]-TabTRADER[[#This Row],[M]])/(TabTRADER[[#This Row],[L_Bn]]*TabTRADER[[#This Row],[M]])</f>
        <v>-0.63895510438408554</v>
      </c>
      <c r="BB57" s="635">
        <f ca="1">IFERROR((TabTRADER[[#This Row],[M]]-TabTRADER[[#This Row],[A]])/TabTRADER[[#This Row],[A]],0)</f>
        <v>-0.30613154960981054</v>
      </c>
      <c r="BC57" s="638" t="str">
        <f ca="1">TEXT(_xlfn.XLOOKUP(TabTRADER[[#This Row],[ClickTick]],TabCalc[Ticker],TabCalc[NAfter]),"#,#0")&amp;" : "&amp;TEXT(_xlfn.XLOOKUP(TabTRADER[[#This Row],[ClickTick]],TabCalc[Ticker],TabCalc[NAfter])*(TabTRADER[[#This Row],[M]]-TabTRADER[[#This Row],[A]])*(1-Commission)*TabTRADER[[#This Row],[Scale]],"#,#0$")</f>
        <v>12,000 : -123,249$</v>
      </c>
      <c r="BD57" s="684">
        <f ca="1">_xlfn.XLOOKUP(TabTRADER[[#This Row],[ClickTick]],TabCalc[[#This Row],[Ticker]],TabCalc[[#This Row],[GL]])*(1-Commission)</f>
        <v>-119156.7807704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0.29477292202227928</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-2.4233969721527401E-2</v>
      </c>
      <c r="BO57" s="687">
        <f ca="1">(TabTRADER[[#This Row],[M]]-TabTRADER[[#This Row],[Agiotage]])/(TabTRADER[[#This Row],[M]]-TabTRADER[[#This Row],[A]])-1</f>
        <v>-3.1723542806008087</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31.3%</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54$</v>
      </c>
      <c r="G58" s="225" t="str">
        <f ca="1">IFERROR(TRUNC(_xlfn.XLOOKUP(TabTRADER[[#This Row],[ClickTick]],TabCalc[Ticker],ListLastSalep),2)&amp;"x"&amp;_xlfn.XLOOKUP(TabTRADER[[#This Row],[ClickTick]],TabCalc[Ticker],ListLastSalen)&amp;"=   "&amp;TEXT(-_xlfn.XLOOKUP(TabTRADER[[#This Row],[ClickTick]],TabCalc[Ticker],ListReverseB),"#,#0")&amp;"$","")</f>
        <v>12.56x2990=   10,600$</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-22.0% = 0</v>
      </c>
      <c r="I58" s="226" t="str">
        <f ca="1">IFERROR(TRUNC(TabCalc[[#This Row],[L_S1p]],2)&amp;"x"&amp;TabCalc[[#This Row],[L_S1n]]&amp;"=   "&amp;TEXT(TabCalc[[#This Row],[ReverseB1]],"#,#0"),"")</f>
        <v>11.65x3000=   -13,361</v>
      </c>
      <c r="J58" s="295">
        <f ca="1">_xlfn.XLOOKUP(TabTRADER[[#This Row],[ClickTick]],TabCalc[Ticker],ListGravity)</f>
        <v>1.0505799441167338</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1.3773604663339033E-3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0.45614828209764918</v>
      </c>
      <c r="S58" s="683">
        <f ca="1">_xlfn.XLOOKUP(TabTRADER[[#This Row],[ClickTick]],TabCalc[Ticker],TabCalc[Rev(MinStock)])*(1-Commission)</f>
        <v>50.318829999999998</v>
      </c>
      <c r="T58" s="782">
        <f ca="1">_xlfn.XLOOKUP(TabTRADER[[#This Row],[ClickTick]],TabCalc[Ticker],TabCalc[Agiotage])</f>
        <v>1.3773604663339033E-3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58" s="739" t="str">
        <f ca="1">_xlfn.XLOOKUP(TabTRADER[[#This Row],[ClickTick]],[1]!RTData[Ticker_Symbol],[1]!RTData[Currency])</f>
        <v>EUR</v>
      </c>
      <c r="W58" s="749">
        <f ca="1">_xlfn.XLOOKUP(TabTRADER[[#This Row],[ClickTick]],TabCalc[Ticker],TabCalc[M])</f>
        <v>16.105</v>
      </c>
      <c r="X58" s="1343"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35.35783</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50.318829999999998</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0.45614828209764918</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0.21751797578391804</v>
      </c>
      <c r="AL58" s="825" cm="1">
        <f t="array" aca="1" ref="AL58" ca="1">_xlfn.IFS(   TabTRADER[[#This Row],[Traps]]=SellMorePercentGain,                     MIN(TabTRADER[[#This Row],[L_Sn]],TabTRADER[[#This Row],[N]])*(TabTRADER[[#This Row],[M]]-TabTRADER[[#This Row],[L_Sp]])*(1-Commission)*TabTRADER[[#This Row],[Scale]],                    TRUE,"")</f>
        <v>35.35783</v>
      </c>
      <c r="AM58" s="1175">
        <f ca="1">_xlfn.XLOOKUP(TabTRADER[[#This Row],[ClickTick]],TabCalc[Ticker],TabCalc[Ann%RevLB])</f>
        <v>0.56625303984535758</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0.45354828209764919</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73.271677861663647</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10x5.04</v>
      </c>
      <c r="AU58" s="765" cm="1">
        <f t="array" aca="1" ref="AU58" ca="1">_xlfn.IFS(TabTRADER[[#This Row],[Traps]]=ReSaleGain,"",         TabTRADER[[#This Row],[Traps]]=MDown, (TabTRADER[[#This Row],[M]]-TabTRADER[[#This Row],[A]])/TabTRADER[[#This Row],[A]]*ComFactor,             TRUE, IFERROR((TabTRADER[[#This Row],[M]]-TabTRADER[[#This Row],[A]])/TabTRADER[[#This Row],[A]]*ComFactor,""))</f>
        <v>0.45496229656419529</v>
      </c>
      <c r="AV58" s="762" cm="1">
        <f t="array" aca="1" ref="AV58" ca="1">_xlfn.IFS(               TabTRADER[[#This Row],[Traps]]=NoStock,(TabTRADER[[#This Row],[L_Sp]]-TabTRADER[[#This Row],[M]])/TabTRADER[[#This Row],[M]]-Commission,             TabTRADER[[#This Row],[A]]&lt;&gt;0,(TabTRADER[[#This Row],[A]]-TabTRADER[[#This Row],[M]])/TabTRADER[[#This Row],[M]]-Commission)</f>
        <v>-0.31585675256131635</v>
      </c>
      <c r="AW58" s="324">
        <f ca="1">_xlfn.XLOOKUP(TabTRADER[[#This Row],[ClickTick]],TabCalc[Ticker],TabCalc[L_Sn])</f>
        <v>2990</v>
      </c>
      <c r="AX58" s="728">
        <f ca="1">_xlfn.XLOOKUP(TabTRADER[[#This Row],[ClickTick]],TabCalc[Ticker],TabCalc[L_Sp])</f>
        <v>12.56</v>
      </c>
      <c r="AY58" s="764">
        <f ca="1">-IFERROR((TabTRADER[[#This Row],[M]]-TabTRADER[[#This Row],[L_Sp]])/TabTRADER[[#This Row],[L_Sp]],0)</f>
        <v>-0.28224522292993631</v>
      </c>
      <c r="AZ58" s="729">
        <f ca="1">TabTRADER[[#This Row],[L_Sn]]*(TabTRADER[[#This Row],[M]]-TabTRADER[[#This Row],[L_Sp]])*(1-Commission)*TabTRADER[[#This Row],[Scale]]</f>
        <v>10571.991169999999</v>
      </c>
      <c r="BA58" s="692">
        <f ca="1">TabTRADER[[#This Row],[L_Sn]]*(TabTRADER[[#This Row],[Agiotage]]-TabTRADER[[#This Row],[M]])/(TabTRADER[[#This Row],[L_Bn]]*TabTRADER[[#This Row],[M]])</f>
        <v>-0.49829071398329355</v>
      </c>
      <c r="BB58" s="635">
        <f ca="1">IFERROR((TabTRADER[[#This Row],[M]]-TabTRADER[[#This Row],[A]])/TabTRADER[[#This Row],[A]],0)</f>
        <v>0.45614828209764918</v>
      </c>
      <c r="BC58" s="638" t="str">
        <f ca="1">TEXT(_xlfn.XLOOKUP(TabTRADER[[#This Row],[ClickTick]],TabCalc[Ticker],TabCalc[NAfter]),"#,#0")&amp;" : "&amp;TEXT(_xlfn.XLOOKUP(TabTRADER[[#This Row],[ClickTick]],TabCalc[Ticker],TabCalc[NAfter])*(TabTRADER[[#This Row],[M]]-TabTRADER[[#This Row],[A]])*(1-Commission)*TabTRADER[[#This Row],[Scale]],"#,#0$")</f>
        <v>10 : 50$</v>
      </c>
      <c r="BD58" s="684">
        <f ca="1">_xlfn.XLOOKUP(TabTRADER[[#This Row],[ClickTick]],TabCalc[[#This Row],[Ticker]],TabCalc[[#This Row],[GL]])*(1-Commission)</f>
        <v>18073.820569000014</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0.22011797578391804</v>
      </c>
      <c r="BJ58" s="679">
        <f ca="1">TabTRADER[[#This Row],[L_Sn]]*TabTRADER[[#This Row],[L_Sp]]+TabTRADER[[#This Row],[SellMore]]*TabTRADER[[#This Row],[M]]</f>
        <v>37715.450000000004</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12.571816666666669</v>
      </c>
      <c r="BN58" s="687">
        <f ca="1">((_xlfn.XLOOKUP(TabTRADER[[#This Row],[ClickTick]],TabCalc[Ticker],TabCalc[NAfter])+TabTRADER[[#This Row],[L_Sn]])*(TabTRADER[[#This Row],[Agiotage]]-TabTRADER[[#This Row],[M]]))/(TabTRADER[[#This Row],[L_Sn]]*_xlfn.XLOOKUP(TabTRADER[[#This Row],[ClickTick]],TabCalc[Ticker],TabCalc[NAfter]))</f>
        <v>-1.6157480909231103</v>
      </c>
      <c r="BO58" s="687">
        <f ca="1">(TabTRADER[[#This Row],[M]]-TabTRADER[[#This Row],[Agiotage]])/(TabTRADER[[#This Row],[M]]-TabTRADER[[#This Row],[A]])-1</f>
        <v>2.1919965588768413</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+23,776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18.7%</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1,682/36,000=26,803</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6,684$</v>
      </c>
      <c r="G59" s="225" t="str">
        <f ca="1">IFERROR(TRUNC(_xlfn.XLOOKUP(TabTRADER[[#This Row],[ClickTick]],TabCalc[Ticker],ListLastSalep),2)&amp;"x"&amp;_xlfn.XLOOKUP(TabTRADER[[#This Row],[ClickTick]],TabCalc[Ticker],ListLastSalen)&amp;"=   "&amp;TEXT(-_xlfn.XLOOKUP(TabTRADER[[#This Row],[ClickTick]],TabCalc[Ticker],ListReverseB),"#,#0")&amp;"$","")</f>
        <v>15.12x4000=   3,248$</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59" s="226" t="str">
        <f ca="1">IFERROR(TRUNC(TabCalc[[#This Row],[L_S1p]],2)&amp;"x"&amp;TabCalc[[#This Row],[L_S1n]]&amp;"=   "&amp;TEXT(TabCalc[[#This Row],[ReverseB1]],"#,#0"),"")</f>
        <v>14.44x8000=   -11,936</v>
      </c>
      <c r="J59" s="295">
        <f ca="1">_xlfn.XLOOKUP(TabTRADER[[#This Row],[ClickTick]],TabCalc[Ticker],ListGravity)</f>
        <v>1.0119715038915391</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414232</v>
      </c>
      <c r="M59" s="323">
        <f ca="1">_xlfn.XLOOKUP(TabTRADER[[#This Row],[ClickTick]],TabCalc[Ticker],TabCalc[Agiotage])</f>
        <v>0.59620640604938813</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0.22932098765432093</v>
      </c>
      <c r="S59" s="683">
        <f ca="1">_xlfn.XLOOKUP(TabTRADER[[#This Row],[ClickTick]],TabCalc[Ticker],TabCalc[Rev(MinStock)])*(1-Commission)</f>
        <v>23714.182399999994</v>
      </c>
      <c r="T59" s="782">
        <f ca="1">_xlfn.XLOOKUP(TabTRADER[[#This Row],[ClickTick]],TabCalc[Ticker],TabCalc[Agiotage])</f>
        <v>0.59620640604938813</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-2,808/-2,808=&gt;-0.1% / -0.1%</v>
      </c>
      <c r="V59" s="739" t="str">
        <f ca="1">_xlfn.XLOOKUP(TabTRADER[[#This Row],[ClickTick]],[1]!RTData[Ticker_Symbol],[1]!RTData[Currency])</f>
        <v>EUR</v>
      </c>
      <c r="W59" s="749">
        <f ca="1">_xlfn.XLOOKUP(TabTRADER[[#This Row],[ClickTick]],TabCalc[Ticker],TabCalc[M])</f>
        <v>15.932</v>
      </c>
      <c r="X59" s="1343"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^75/574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3239.5552000000043</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89890.874480000028</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0.18642987935298586</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4.8366608084358595E-2</v>
      </c>
      <c r="AL59" s="825" cm="1">
        <f t="array" aca="1" ref="AL59" ca="1">_xlfn.IFS(   TabTRADER[[#This Row],[Traps]]=SellMorePercentGain,                     MIN(TabTRADER[[#This Row],[L_Sn]],TabTRADER[[#This Row],[N]])*(TabTRADER[[#This Row],[M]]-TabTRADER[[#This Row],[L_Sp]])*(1-Commission)*TabTRADER[[#This Row],[Scale]],                    TRUE,"")</f>
        <v>3239.5552000000043</v>
      </c>
      <c r="AM59" s="1175">
        <f ca="1">_xlfn.XLOOKUP(TabTRADER[[#This Row],[ClickTick]],TabCalc[Ticker],TabCalc[Ann%RevLB])</f>
        <v>0.51276742581090395</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0.18382987935298586</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106649.21936424082</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v>
      </c>
      <c r="AU59" s="765" cm="1">
        <f t="array" aca="1" ref="AU59" ca="1">_xlfn.IFS(TabTRADER[[#This Row],[Traps]]=ReSaleGain,"",         TabTRADER[[#This Row],[Traps]]=MDown, (TabTRADER[[#This Row],[M]]-TabTRADER[[#This Row],[A]])/TabTRADER[[#This Row],[A]]*ComFactor,             TRUE, IFERROR((TabTRADER[[#This Row],[M]]-TabTRADER[[#This Row],[A]])/TabTRADER[[#This Row],[A]]*ComFactor,""))</f>
        <v>0.18594516166666808</v>
      </c>
      <c r="AV59" s="762" cm="1">
        <f t="array" aca="1" ref="AV59" ca="1">_xlfn.IFS(               TabTRADER[[#This Row],[Traps]]=NoStock,(TabTRADER[[#This Row],[L_Sp]]-TabTRADER[[#This Row],[M]])/TabTRADER[[#This Row],[M]]-Commission,             TabTRADER[[#This Row],[A]]&lt;&gt;0,(TabTRADER[[#This Row],[A]]-TabTRADER[[#This Row],[M]])/TabTRADER[[#This Row],[M]]-Commission)</f>
        <v>-0.15973518565012415</v>
      </c>
      <c r="AW59" s="324">
        <f ca="1">_xlfn.XLOOKUP(TabTRADER[[#This Row],[ClickTick]],TabCalc[Ticker],TabCalc[L_Sn])</f>
        <v>4000</v>
      </c>
      <c r="AX59" s="728">
        <f ca="1">_xlfn.XLOOKUP(TabTRADER[[#This Row],[ClickTick]],TabCalc[Ticker],TabCalc[L_Sp])</f>
        <v>15.12</v>
      </c>
      <c r="AY59" s="764">
        <f ca="1">-IFERROR((TabTRADER[[#This Row],[M]]-TabTRADER[[#This Row],[L_Sp]])/TabTRADER[[#This Row],[L_Sp]],0)</f>
        <v>-5.3703703703703781E-2</v>
      </c>
      <c r="AZ59" s="729">
        <f ca="1">TabTRADER[[#This Row],[L_Sn]]*(TabTRADER[[#This Row],[M]]-TabTRADER[[#This Row],[L_Sp]])*(1-Commission)*TabTRADER[[#This Row],[Scale]]</f>
        <v>3239.5552000000043</v>
      </c>
      <c r="BA59" s="692">
        <f ca="1">TabTRADER[[#This Row],[L_Sn]]*(TabTRADER[[#This Row],[Agiotage]]-TabTRADER[[#This Row],[M]])/(TabTRADER[[#This Row],[L_Bn]]*TabTRADER[[#This Row],[M]])</f>
        <v>-0.48128902818072467</v>
      </c>
      <c r="BB59" s="635">
        <f ca="1">IFERROR((TabTRADER[[#This Row],[M]]-TabTRADER[[#This Row],[A]])/TabTRADER[[#This Row],[A]],0)</f>
        <v>0.18642987935298586</v>
      </c>
      <c r="BC59" s="638" t="str">
        <f ca="1">TEXT(_xlfn.XLOOKUP(TabTRADER[[#This Row],[ClickTick]],TabCalc[Ticker],TabCalc[NAfter]),"#,#0")&amp;" : "&amp;TEXT(_xlfn.XLOOKUP(TabTRADER[[#This Row],[ClickTick]],TabCalc[Ticker],TabCalc[NAfter])*(TabTRADER[[#This Row],[M]]-TabTRADER[[#This Row],[A]])*(1-Commission)*TabTRADER[[#This Row],[Scale]],"#,#0$")</f>
        <v>36,000 : 89,891$</v>
      </c>
      <c r="BD59" s="684">
        <f ca="1">_xlfn.XLOOKUP(TabTRADER[[#This Row],[ClickTick]],TabCalc[[#This Row],[Ticker]],TabCalc[[#This Row],[GL]])*(1-Commission)</f>
        <v>74488.602777199936</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5.0966608084358593E-2</v>
      </c>
      <c r="BJ59" s="679">
        <f ca="1">TabTRADER[[#This Row],[L_Sn]]*TabTRADER[[#This Row],[L_Sp]]+TabTRADER[[#This Row],[SellMore]]*TabTRADER[[#This Row],[M]]</f>
        <v>92344</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15.390666666666666</v>
      </c>
      <c r="BN59" s="687">
        <f ca="1">((_xlfn.XLOOKUP(TabTRADER[[#This Row],[ClickTick]],TabCalc[Ticker],TabCalc[NAfter])+TabTRADER[[#This Row],[L_Sn]])*(TabTRADER[[#This Row],[Agiotage]]-TabTRADER[[#This Row],[M]]))/(TabTRADER[[#This Row],[L_Sn]]*_xlfn.XLOOKUP(TabTRADER[[#This Row],[ClickTick]],TabCalc[Ticker],TabCalc[NAfter]))</f>
        <v>-4.2599426649862814E-3</v>
      </c>
      <c r="BO59" s="687">
        <f ca="1">(TabTRADER[[#This Row],[M]]-TabTRADER[[#This Row],[Agiotage]])/(TabTRADER[[#This Row],[M]]-TabTRADER[[#This Row],[A]])-1</f>
        <v>5.1257957750132253</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43"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-1.1037790697674417</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+620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-80$</v>
      </c>
      <c r="G61" s="225" t="str">
        <f ca="1">IFERROR(TRUNC(_xlfn.XLOOKUP(TabTRADER[[#This Row],[ClickTick]],TabCalc[Ticker],ListLastSalep),2)&amp;"x"&amp;_xlfn.XLOOKUP(TabTRADER[[#This Row],[ClickTick]],TabCalc[Ticker],ListLastSalen)&amp;"=   "&amp;TEXT(-_xlfn.XLOOKUP(TabTRADER[[#This Row],[ClickTick]],TabCalc[Ticker],ListReverseB),"#,#0")&amp;"$","")</f>
        <v>47.47x1000=   7,170$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13.1% = 0</v>
      </c>
      <c r="I61" s="226" t="str">
        <f ca="1">IFERROR(TRUNC(TabCalc[[#This Row],[L_S1p]],2)&amp;"x"&amp;TabCalc[[#This Row],[L_S1n]]&amp;"=   "&amp;TEXT(TabCalc[[#This Row],[ReverseB1]],"#,#0"),"")</f>
        <v>45.76x1000=   -8,880</v>
      </c>
      <c r="J61" s="295">
        <f ca="1">_xlfn.XLOOKUP(TabTRADER[[#This Row],[ClickTick]],TabCalc[Ticker],ListGravity)</f>
        <v>1.1838599926793558</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0.71645315441424917</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1.1477230655312799E-2</v>
      </c>
      <c r="S61" s="683">
        <f ca="1">_xlfn.XLOOKUP(TabTRADER[[#This Row],[ClickTick]],TabCalc[Ticker],TabCalc[Rev(MinStock)])*(1-Commission)</f>
        <v>618.38799999999753</v>
      </c>
      <c r="T61" s="782">
        <f ca="1">_xlfn.XLOOKUP(TabTRADER[[#This Row],[ClickTick]],TabCalc[Ticker],TabCalc[Agiotage])</f>
        <v>0.71645315441424917</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-10,080/-10,080=&gt;-2.1% / -2.1%</v>
      </c>
      <c r="V61" s="739" t="str">
        <f ca="1">_xlfn.XLOOKUP(TabTRADER[[#This Row],[ClickTick]],[1]!RTData[Ticker_Symbol],[1]!RTData[Currency])</f>
        <v>EUR</v>
      </c>
      <c r="W61" s="749">
        <f ca="1">_xlfn.XLOOKUP(TabTRADER[[#This Row],[ClickTick]],TabCalc[Ticker],TabCalc[M])</f>
        <v>54.64</v>
      </c>
      <c r="X61" s="1343"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^86/382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618.38799999999753</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618.38799999999753</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1.1477230655312799E-2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0.19675252551964797</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-6995.7376170420166</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1.608071533152057E-2</v>
      </c>
      <c r="AW61" s="324">
        <f ca="1">_xlfn.XLOOKUP(TabTRADER[[#This Row],[ClickTick]],TabCalc[Ticker],TabCalc[L_Sn])</f>
        <v>1000</v>
      </c>
      <c r="AX61" s="728">
        <f ca="1">_xlfn.XLOOKUP(TabTRADER[[#This Row],[ClickTick]],TabCalc[Ticker],TabCalc[L_Sp])</f>
        <v>47.47</v>
      </c>
      <c r="AY61" s="764">
        <f ca="1">-IFERROR((TabTRADER[[#This Row],[M]]-TabTRADER[[#This Row],[L_Sp]])/TabTRADER[[#This Row],[L_Sp]],0)</f>
        <v>-0.15104276385085322</v>
      </c>
      <c r="AZ61" s="729">
        <f ca="1">TabTRADER[[#This Row],[L_Sn]]*(TabTRADER[[#This Row],[M]]-TabTRADER[[#This Row],[L_Sp]])*(1-Commission)*TabTRADER[[#This Row],[Scale]]</f>
        <v>7151.3580000000011</v>
      </c>
      <c r="BA61" s="692">
        <f ca="1">TabTRADER[[#This Row],[L_Sn]]*(TabTRADER[[#This Row],[Agiotage]]-TabTRADER[[#This Row],[M]])/(TabTRADER[[#This Row],[L_Bn]]*TabTRADER[[#This Row],[M]])</f>
        <v>-0.98688775339651824</v>
      </c>
      <c r="BB61" s="635">
        <f ca="1">IFERROR((TabTRADER[[#This Row],[M]]-TabTRADER[[#This Row],[A]])/TabTRADER[[#This Row],[A]],0)</f>
        <v>-1.8338145652871323E-2</v>
      </c>
      <c r="BC61" s="638" t="str">
        <f ca="1">TEXT(_xlfn.XLOOKUP(TabTRADER[[#This Row],[ClickTick]],TabCalc[Ticker],TabCalc[NAfter]),"#,#0")&amp;" : "&amp;TEXT(_xlfn.XLOOKUP(TabTRADER[[#This Row],[ClickTick]],TabCalc[Ticker],TabCalc[NAfter])*(TabTRADER[[#This Row],[M]]-TabTRADER[[#This Row],[A]])*(1-Commission)*TabTRADER[[#This Row],[Scale]],"#,#0$")</f>
        <v>7,000 : -7,126$</v>
      </c>
      <c r="BD61" s="684">
        <f ca="1">_xlfn.XLOOKUP(TabTRADER[[#This Row],[ClickTick]],TabCalc[[#This Row],[Ticker]],TabCalc[[#This Row],[GL]])*(1-Commission)</f>
        <v>85665.738469999982</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AMY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t="e">
        <f ca="1">TabTRADER[[#This Row],[L_Sn]]*TabTRADER[[#This Row],[L_Sp]]+TabTRADER[[#This Row],[SellMore]]*TabTRADER[[#This Row],[M]]</f>
        <v>#N/A</v>
      </c>
      <c r="BK61" s="679" t="e">
        <f ca="1">INDEX(
  INDEX(TabConsolid[], , _xlfn.XMATCH(TabTRADER[[#This Row],[ClickTick]]&amp;1, TabConsolid[#Headers])),
  MATCH(
    -TabTRADER[[#This Row],[M]],
    INDEX(TabConsolid[], , _xlfn.XMATCH(TabTRADER[[#This Row],[ClickTick]]&amp;2, TabConsolid[#Headers])),
    -1
  )
)</f>
        <v>#N/A</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56" t="e">
        <f ca="1">TabTRADER[[#This Row],[ReBuy]]/(TabTRADER[[#This Row],[L_Sn]]+TabTRADER[[#This Row],[SellMore]])</f>
        <v>#N/A</v>
      </c>
      <c r="BN61" s="687">
        <f ca="1">((_xlfn.XLOOKUP(TabTRADER[[#This Row],[ClickTick]],TabCalc[Ticker],TabCalc[NAfter])+TabTRADER[[#This Row],[L_Sn]])*(TabTRADER[[#This Row],[Agiotage]]-TabTRADER[[#This Row],[M]]))/(TabTRADER[[#This Row],[L_Sn]]*_xlfn.XLOOKUP(TabTRADER[[#This Row],[ClickTick]],TabCalc[Ticker],TabCalc[NAfter]))</f>
        <v>-6.1626910680669438E-2</v>
      </c>
      <c r="BO61" s="687">
        <f ca="1">(TabTRADER[[#This Row],[M]]-TabTRADER[[#This Row],[Agiotage]])/(TabTRADER[[#This Row],[M]]-TabTRADER[[#This Row],[A]])-1</f>
        <v>-53.829227140531962</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-555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5,850$</v>
      </c>
      <c r="G62" s="225" t="str">
        <f ca="1">IFERROR(TRUNC(_xlfn.XLOOKUP(TabTRADER[[#This Row],[ClickTick]],TabCalc[Ticker],ListLastSalep),2)&amp;"x"&amp;_xlfn.XLOOKUP(TabTRADER[[#This Row],[ClickTick]],TabCalc[Ticker],ListLastSalen)&amp;"=   "&amp;TEXT(-_xlfn.XLOOKUP(TabTRADER[[#This Row],[ClickTick]],TabCalc[Ticker],ListReverseB),"#,#0")&amp;"$","")</f>
        <v>13.74x1200=   504$</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62" s="226" t="str">
        <f ca="1">IFERROR(TRUNC(TabCalc[[#This Row],[L_S1p]],2)&amp;"x"&amp;TabCalc[[#This Row],[L_S1n]]&amp;"=   "&amp;TEXT(TabCalc[[#This Row],[ReverseB1]],"#,#0"),"")</f>
        <v>13.93x2000=   -470</v>
      </c>
      <c r="J62" s="295">
        <f ca="1">_xlfn.XLOOKUP(TabTRADER[[#This Row],[ClickTick]],TabCalc[Ticker],ListGravity)</f>
        <v>1.0816957289092834</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177062.5</v>
      </c>
      <c r="M62" s="323">
        <f ca="1">_xlfn.XLOOKUP(TabTRADER[[#This Row],[ClickTick]],TabCalc[Ticker],TabCalc[Agiotage])</f>
        <v>1.0808883296742351</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-1.2891986062717804E-2</v>
      </c>
      <c r="S62" s="683">
        <f ca="1">_xlfn.XLOOKUP(TabTRADER[[#This Row],[ClickTick]],TabCalc[Ticker],TabCalc[Rev(MinStock)])*(1-Commission)</f>
        <v>-553.55700000000149</v>
      </c>
      <c r="T62" s="782">
        <f ca="1">_xlfn.XLOOKUP(TabTRADER[[#This Row],[ClickTick]],TabCalc[Ticker],TabCalc[Agiotage])</f>
        <v>1.0808883296742351</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4,257/4,257=&gt;1.6% / 1.6%</v>
      </c>
      <c r="V62" s="739" t="str">
        <f ca="1">_xlfn.XLOOKUP(TabTRADER[[#This Row],[ClickTick]],[1]!RTData[Ticker_Symbol],[1]!RTData[Currency])</f>
        <v>EUR</v>
      </c>
      <c r="W62" s="749">
        <f ca="1">_xlfn.XLOOKUP(TabTRADER[[#This Row],[ClickTick]],TabCalc[Ticker],TabCalc[M])</f>
        <v>14.164999999999999</v>
      </c>
      <c r="X62" s="1343"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^102/280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502.68959999999987</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40487.458199999979</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0.16922634383051091</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2.7050547123190959E-2</v>
      </c>
      <c r="AL62" s="825" cm="1">
        <f t="array" aca="1" ref="AL62" ca="1">_xlfn.IFS(   TabTRADER[[#This Row],[Traps]]=SellMorePercentGain,                     MIN(TabTRADER[[#This Row],[L_Sn]],TabTRADER[[#This Row],[N]])*(TabTRADER[[#This Row],[M]]-TabTRADER[[#This Row],[L_Sp]])*(1-Commission)*TabTRADER[[#This Row],[Scale]],                    TRUE,"")</f>
        <v>502.68959999999987</v>
      </c>
      <c r="AM62" s="1175">
        <f ca="1">_xlfn.XLOOKUP(TabTRADER[[#This Row],[ClickTick]],TabCalc[Ticker],TabCalc[Ann%RevLB])</f>
        <v>-5.525136884021916E-2</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0.16662634383051092</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47339.002722176607</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3,000x2.05</v>
      </c>
      <c r="AU62" s="765" cm="1">
        <f t="array" aca="1" ref="AU62" ca="1">_xlfn.IFS(TabTRADER[[#This Row],[Traps]]=ReSaleGain,"",         TabTRADER[[#This Row],[Traps]]=MDown, (TabTRADER[[#This Row],[M]]-TabTRADER[[#This Row],[A]])/TabTRADER[[#This Row],[A]]*ComFactor,             TRUE, IFERROR((TabTRADER[[#This Row],[M]]-TabTRADER[[#This Row],[A]])/TabTRADER[[#This Row],[A]]*ComFactor,""))</f>
        <v>0.16878635533655156</v>
      </c>
      <c r="AV62" s="762" cm="1">
        <f t="array" aca="1" ref="AV62" ca="1">_xlfn.IFS(               TabTRADER[[#This Row],[Traps]]=NoStock,(TabTRADER[[#This Row],[L_Sp]]-TabTRADER[[#This Row],[M]])/TabTRADER[[#This Row],[M]]-Commission,             TabTRADER[[#This Row],[A]]&lt;&gt;0,(TabTRADER[[#This Row],[A]]-TabTRADER[[#This Row],[M]])/TabTRADER[[#This Row],[M]]-Commission)</f>
        <v>-0.14733360502305076</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-3.0556566024008726E-2</v>
      </c>
      <c r="AZ62" s="729">
        <f ca="1">TabTRADER[[#This Row],[L_Sn]]*(TabTRADER[[#This Row],[M]]-TabTRADER[[#This Row],[L_Sp]])*(1-Commission)*TabTRADER[[#This Row],[Scale]]</f>
        <v>502.68959999999987</v>
      </c>
      <c r="BA62" s="692">
        <f ca="1">TabTRADER[[#This Row],[L_Sn]]*(TabTRADER[[#This Row],[Agiotage]]-TabTRADER[[#This Row],[M]])/(TabTRADER[[#This Row],[L_Bn]]*TabTRADER[[#This Row],[M]])</f>
        <v>-0.36947720918674942</v>
      </c>
      <c r="BB62" s="635">
        <f ca="1">IFERROR((TabTRADER[[#This Row],[M]]-TabTRADER[[#This Row],[A]])/TabTRADER[[#This Row],[A]],0)</f>
        <v>0.16922634383051091</v>
      </c>
      <c r="BC62" s="638" t="str">
        <f ca="1">TEXT(_xlfn.XLOOKUP(TabTRADER[[#This Row],[ClickTick]],TabCalc[Ticker],TabCalc[NAfter]),"#,#0")&amp;" : "&amp;TEXT(_xlfn.XLOOKUP(TabTRADER[[#This Row],[ClickTick]],TabCalc[Ticker],TabCalc[NAfter])*(TabTRADER[[#This Row],[M]]-TabTRADER[[#This Row],[A]])*(1-Commission)*TabTRADER[[#This Row],[Scale]],"#,#0$")</f>
        <v>19,800 : 40,487$</v>
      </c>
      <c r="BD62" s="684">
        <f ca="1">_xlfn.XLOOKUP(TabTRADER[[#This Row],[ClickTick]],TabCalc[[#This Row],[Ticker]],TabCalc[[#This Row],[GL]])*(1-Commission)</f>
        <v>101828.60546999998</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2.965054712319096E-2</v>
      </c>
      <c r="BJ62" s="679">
        <f ca="1">TabTRADER[[#This Row],[L_Sn]]*TabTRADER[[#This Row],[L_Sp]]+TabTRADER[[#This Row],[SellMore]]*TabTRADER[[#This Row],[M]]</f>
        <v>101484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14.095000000000001</v>
      </c>
      <c r="BN62" s="687">
        <f ca="1">((_xlfn.XLOOKUP(TabTRADER[[#This Row],[ClickTick]],TabCalc[Ticker],TabCalc[NAfter])+TabTRADER[[#This Row],[L_Sn]])*(TabTRADER[[#This Row],[Agiotage]]-TabTRADER[[#This Row],[M]]))/(TabTRADER[[#This Row],[L_Sn]]*_xlfn.XLOOKUP(TabTRADER[[#This Row],[ClickTick]],TabCalc[Ticker],TabCalc[NAfter]))</f>
        <v>-1.1564240112661661E-2</v>
      </c>
      <c r="BO62" s="687">
        <f ca="1">(TabTRADER[[#This Row],[M]]-TabTRADER[[#This Row],[Agiotage]])/(TabTRADER[[#This Row],[M]]-TabTRADER[[#This Row],[A]])-1</f>
        <v>5.3820218035732834</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22.9%</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15$</v>
      </c>
      <c r="G63" s="225" t="str">
        <f ca="1">IFERROR(TRUNC(_xlfn.XLOOKUP(TabTRADER[[#This Row],[ClickTick]],TabCalc[Ticker],ListLastSalep),2)&amp;"x"&amp;_xlfn.XLOOKUP(TabTRADER[[#This Row],[ClickTick]],TabCalc[Ticker],ListLastSalen)&amp;"=   "&amp;TEXT(-_xlfn.XLOOKUP(TabTRADER[[#This Row],[ClickTick]],TabCalc[Ticker],ListReverseB),"#,#0")&amp;"$","")</f>
        <v>33.36x3999=   38,190$</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63" s="226" t="str">
        <f ca="1">IFERROR(TRUNC(TabCalc[[#This Row],[L_S1p]],2)&amp;"x"&amp;TabCalc[[#This Row],[L_S1n]]&amp;"=   "&amp;TEXT(TabCalc[[#This Row],[ReverseB1]],"#,#0"),"")</f>
        <v>29.29x4000=   -54,480</v>
      </c>
      <c r="J63" s="295">
        <f ca="1">_xlfn.XLOOKUP(TabTRADER[[#This Row],[ClickTick]],TabCalc[Ticker],ListGravity)</f>
        <v>1.0428119319505942</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4.4524727823072796E-3</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0.29657047892430877</v>
      </c>
      <c r="S63" s="683">
        <f ca="1">_xlfn.XLOOKUP(TabTRADER[[#This Row],[ClickTick]],TabCalc[Ticker],TabCalc[Rev(MinStock)])*(1-Commission)</f>
        <v>9.7894809999999968</v>
      </c>
      <c r="T63" s="782">
        <f ca="1">_xlfn.XLOOKUP(TabTRADER[[#This Row],[ClickTick]],TabCalc[Ticker],TabCalc[Agiotage])</f>
        <v>4.4524727823072796E-3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63" s="739" t="str">
        <f ca="1">_xlfn.XLOOKUP(TabTRADER[[#This Row],[ClickTick]],[1]!RTData[Ticker_Symbol],[1]!RTData[Currency])</f>
        <v>EUR</v>
      </c>
      <c r="W63" s="749">
        <f ca="1">_xlfn.XLOOKUP(TabTRADER[[#This Row],[ClickTick]],TabCalc[Ticker],TabCalc[M])</f>
        <v>42.91</v>
      </c>
      <c r="X63" s="1343"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9.5251699999999975</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9.7894809999999968</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0.29657047892430877</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0.21995884409228614</v>
      </c>
      <c r="AL63" s="825" cm="1">
        <f t="array" aca="1" ref="AL63" ca="1">_xlfn.IFS(   TabTRADER[[#This Row],[Traps]]=SellMorePercentGain,                     MIN(TabTRADER[[#This Row],[L_Sn]],TabTRADER[[#This Row],[N]])*(TabTRADER[[#This Row],[M]]-TabTRADER[[#This Row],[L_Sp]])*(1-Commission)*TabTRADER[[#This Row],[Scale]],                    TRUE,"")</f>
        <v>9.5251699999999975</v>
      </c>
      <c r="AM63" s="1175">
        <f ca="1">_xlfn.XLOOKUP(TabTRADER[[#This Row],[ClickTick]],TabCalc[Ticker],TabCalc[Ann%RevLB])</f>
        <v>0.56489615033201668</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0.29397047892430878</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12.692752068590419</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1x9.81</v>
      </c>
      <c r="AU63" s="765" cm="1">
        <f t="array" aca="1" ref="AU63" ca="1">_xlfn.IFS(TabTRADER[[#This Row],[Traps]]=ReSaleGain,"",         TabTRADER[[#This Row],[Traps]]=MDown, (TabTRADER[[#This Row],[M]]-TabTRADER[[#This Row],[A]])/TabTRADER[[#This Row],[A]]*ComFactor,             TRUE, IFERROR((TabTRADER[[#This Row],[M]]-TabTRADER[[#This Row],[A]])/TabTRADER[[#This Row],[A]]*ComFactor,""))</f>
        <v>0.29579939567910557</v>
      </c>
      <c r="AV63" s="762" cm="1">
        <f t="array" aca="1" ref="AV63" ca="1">_xlfn.IFS(               TabTRADER[[#This Row],[Traps]]=NoStock,(TabTRADER[[#This Row],[L_Sp]]-TabTRADER[[#This Row],[M]])/TabTRADER[[#This Row],[M]]-Commission,             TabTRADER[[#This Row],[A]]&lt;&gt;0,(TabTRADER[[#This Row],[A]]-TabTRADER[[#This Row],[M]])/TabTRADER[[#This Row],[M]]-Commission)</f>
        <v>-0.23133456070845954</v>
      </c>
      <c r="AW63" s="324">
        <f ca="1">_xlfn.XLOOKUP(TabTRADER[[#This Row],[ClickTick]],TabCalc[Ticker],TabCalc[L_Sn])</f>
        <v>3999</v>
      </c>
      <c r="AX63" s="728">
        <f ca="1">_xlfn.XLOOKUP(TabTRADER[[#This Row],[ClickTick]],TabCalc[Ticker],TabCalc[L_Sp])</f>
        <v>33.36</v>
      </c>
      <c r="AY63" s="764">
        <f ca="1">-IFERROR((TabTRADER[[#This Row],[M]]-TabTRADER[[#This Row],[L_Sp]])/TabTRADER[[#This Row],[L_Sp]],0)</f>
        <v>-0.2862709832134292</v>
      </c>
      <c r="AZ63" s="729">
        <f ca="1">TabTRADER[[#This Row],[L_Sn]]*(TabTRADER[[#This Row],[M]]-TabTRADER[[#This Row],[L_Sp]])*(1-Commission)*TabTRADER[[#This Row],[Scale]]</f>
        <v>38091.154829999985</v>
      </c>
      <c r="BA63" s="692">
        <f ca="1">TabTRADER[[#This Row],[L_Sn]]*(TabTRADER[[#This Row],[Agiotage]]-TabTRADER[[#This Row],[M]])/(TabTRADER[[#This Row],[L_Bn]]*TabTRADER[[#This Row],[M]])</f>
        <v>-1.3328616838448191</v>
      </c>
      <c r="BB63" s="635">
        <f ca="1">IFERROR((TabTRADER[[#This Row],[M]]-TabTRADER[[#This Row],[A]])/TabTRADER[[#This Row],[A]],0)</f>
        <v>0.29657047892430877</v>
      </c>
      <c r="BC63" s="638" t="str">
        <f ca="1">TEXT(_xlfn.XLOOKUP(TabTRADER[[#This Row],[ClickTick]],TabCalc[Ticker],TabCalc[NAfter]),"#,#0")&amp;" : "&amp;TEXT(_xlfn.XLOOKUP(TabTRADER[[#This Row],[ClickTick]],TabCalc[Ticker],TabCalc[NAfter])*(TabTRADER[[#This Row],[M]]-TabTRADER[[#This Row],[A]])*(1-Commission)*TabTRADER[[#This Row],[Scale]],"#,#0$")</f>
        <v>1 : 10$</v>
      </c>
      <c r="BD63" s="684">
        <f ca="1">_xlfn.XLOOKUP(TabTRADER[[#This Row],[ClickTick]],TabCalc[[#This Row],[Ticker]],TabCalc[[#This Row],[GL]])*(1-Commission)</f>
        <v>37460.399069999985</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0.22255884409228613</v>
      </c>
      <c r="BJ63" s="679">
        <f ca="1">TabTRADER[[#This Row],[L_Sn]]*TabTRADER[[#This Row],[L_Sp]]+TabTRADER[[#This Row],[SellMore]]*TabTRADER[[#This Row],[M]]</f>
        <v>133449.54999999999</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33.362387499999997</v>
      </c>
      <c r="BN63" s="687">
        <f ca="1">((_xlfn.XLOOKUP(TabTRADER[[#This Row],[ClickTick]],TabCalc[Ticker],TabCalc[NAfter])+TabTRADER[[#This Row],[L_Sn]])*(TabTRADER[[#This Row],[Agiotage]]-TabTRADER[[#This Row],[M]]))/(TabTRADER[[#This Row],[L_Sn]]*_xlfn.XLOOKUP(TabTRADER[[#This Row],[ClickTick]],TabCalc[Ticker],TabCalc[NAfter]))</f>
        <v>-42.916276596366785</v>
      </c>
      <c r="BO63" s="687">
        <f ca="1">(TabTRADER[[#This Row],[M]]-TabTRADER[[#This Row],[Agiotage]])/(TabTRADER[[#This Row],[M]]-TabTRADER[[#This Row],[A]])-1</f>
        <v>3.3714261362422517</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-7,050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-16.3%</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-8,790$</v>
      </c>
      <c r="G64" s="225" t="str">
        <f ca="1">IFERROR(TRUNC(_xlfn.XLOOKUP(TabTRADER[[#This Row],[ClickTick]],TabCalc[Ticker],ListLastSalep),2)&amp;"x"&amp;_xlfn.XLOOKUP(TabTRADER[[#This Row],[ClickTick]],TabCalc[Ticker],ListLastSalen)&amp;"=   "&amp;TEXT(-_xlfn.XLOOKUP(TabTRADER[[#This Row],[ClickTick]],TabCalc[Ticker],ListReverseB),"#,#0")&amp;"$","")</f>
        <v>267.48x500=   -25,915$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24.0% = 96</v>
      </c>
      <c r="I64" s="226" t="str">
        <f ca="1">IFERROR(TRUNC(TabCalc[[#This Row],[L_S1p]],2)&amp;"x"&amp;TabCalc[[#This Row],[L_S1n]]&amp;"=   "&amp;TEXT(TabCalc[[#This Row],[ReverseB1]],"#,#0"),"")</f>
        <v>263.8x500=   24,075</v>
      </c>
      <c r="J64" s="295">
        <f ca="1">_xlfn.XLOOKUP(TabTRADER[[#This Row],[ClickTick]],TabCalc[Ticker],ListGravity)</f>
        <v>1.3385893809413403</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1.1597733249552002</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-0.14049422080510163</v>
      </c>
      <c r="S64" s="683">
        <f ca="1">_xlfn.XLOOKUP(TabTRADER[[#This Row],[ClickTick]],TabCalc[Ticker],TabCalc[Rev(MinStock)])*(1-Commission)</f>
        <v>-7031.67</v>
      </c>
      <c r="T64" s="782">
        <f ca="1">_xlfn.XLOOKUP(TabTRADER[[#This Row],[ClickTick]],TabCalc[Ticker],TabCalc[Agiotage])</f>
        <v>1.1597733249552002</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-1,604/-1,604=&gt;-1.1% / -1.1%</v>
      </c>
      <c r="V64" s="739" t="str">
        <f ca="1">_xlfn.XLOOKUP(TabTRADER[[#This Row],[ClickTick]],[1]!RTData[Ticker_Symbol],[1]!RTData[Currency])</f>
        <v>EUR</v>
      </c>
      <c r="W64" s="749">
        <f ca="1">_xlfn.XLOOKUP(TabTRADER[[#This Row],[ClickTick]],TabCalc[Ticker],TabCalc[M])</f>
        <v>215.65</v>
      </c>
      <c r="X64" s="1343"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^50/86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7031.67</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86475.650000000009</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0.15520499227845092</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0.16085930906561557</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-0.47269083635361292</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0.16345930906561557</v>
      </c>
      <c r="AP64" s="825" cm="1">
        <f t="array" aca="1" ref="AP64" ca="1">_xlfn.IFS(         TabTRADER[[#This Row],[Traps]]=MDown,TabTRADER[[#This Row],[L_Bn]]*TabTRADER[[#This Row],[M]]*(-(TabTRADER[[#This Row],[L_Bp]]+TabTRADER[[#This Row],[M]])/TabTRADER[[#This Row],[M]])*(1-Commission)*TabTRADER[[#This Row],[Scale]],                               TRUE,"")</f>
        <v>7031.6699999999992</v>
      </c>
      <c r="AQ64" s="1186" cm="1">
        <f t="array" aca="1" ref="AQ64" ca="1">_xlfn.IFS(   TabTRADER[[#This Row],[Traps]]=MUp,TabTRADER[[#This Row],[TakeGain_A]]-Commission,        TabTRADER[[#This Row],[Traps]]=MDown,(TabTRADER[[#This Row],[A]]-TabTRADER[[#This Row],[M]])/TabTRADER[[#This Row],[M]]-Commission,                              TRUE,"")</f>
        <v>0.18111911630615091</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15845.923201999998</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-35.25</v>
      </c>
      <c r="AU64" s="765" cm="1">
        <f t="array" aca="1" ref="AU64" ca="1">_xlfn.IFS(TabTRADER[[#This Row],[Traps]]=ReSaleGain,"",         TabTRADER[[#This Row],[Traps]]=MDown, (TabTRADER[[#This Row],[M]]-TabTRADER[[#This Row],[A]])/TabTRADER[[#This Row],[A]]*ComFactor,             TRUE, IFERROR((TabTRADER[[#This Row],[M]]-TabTRADER[[#This Row],[A]])/TabTRADER[[#This Row],[A]]*ComFactor,""))</f>
        <v>-0.15480145929852693</v>
      </c>
      <c r="AV64" s="762" cm="1">
        <f t="array" aca="1" ref="AV64" ca="1">_xlfn.IFS(               TabTRADER[[#This Row],[Traps]]=NoStock,(TabTRADER[[#This Row],[L_Sp]]-TabTRADER[[#This Row],[M]])/TabTRADER[[#This Row],[M]]-Commission,             TabTRADER[[#This Row],[A]]&lt;&gt;0,(TabTRADER[[#This Row],[A]]-TabTRADER[[#This Row],[M]])/TabTRADER[[#This Row],[M]]-Commission)</f>
        <v>0.18111911630615091</v>
      </c>
      <c r="AW64" s="324">
        <f ca="1">_xlfn.XLOOKUP(TabTRADER[[#This Row],[ClickTick]],TabCalc[Ticker],TabCalc[L_Sn])</f>
        <v>500</v>
      </c>
      <c r="AX64" s="728">
        <f ca="1">_xlfn.XLOOKUP(TabTRADER[[#This Row],[ClickTick]],TabCalc[Ticker],TabCalc[L_Sp])</f>
        <v>267.48</v>
      </c>
      <c r="AY64" s="764">
        <f ca="1">-IFERROR((TabTRADER[[#This Row],[M]]-TabTRADER[[#This Row],[L_Sp]])/TabTRADER[[#This Row],[L_Sp]],0)</f>
        <v>0.19377149693435028</v>
      </c>
      <c r="AZ64" s="729">
        <f ca="1">TabTRADER[[#This Row],[L_Sn]]*(TabTRADER[[#This Row],[M]]-TabTRADER[[#This Row],[L_Sp]])*(1-Commission)*TabTRADER[[#This Row],[Scale]]</f>
        <v>-25847.621000000006</v>
      </c>
      <c r="BA64" s="692">
        <f ca="1">TabTRADER[[#This Row],[L_Sn]]*(TabTRADER[[#This Row],[Agiotage]]-TabTRADER[[#This Row],[M]])/(TabTRADER[[#This Row],[L_Bn]]*TabTRADER[[#This Row],[M]])</f>
        <v>-2.486554911604971</v>
      </c>
      <c r="BB64" s="635">
        <f ca="1">IFERROR((TabTRADER[[#This Row],[M]]-TabTRADER[[#This Row],[A]])/TabTRADER[[#This Row],[A]],0)</f>
        <v>-0.15520499227845092</v>
      </c>
      <c r="BC64" s="638" t="str">
        <f ca="1">TEXT(_xlfn.XLOOKUP(TabTRADER[[#This Row],[ClickTick]],TabCalc[Ticker],TabCalc[NAfter]),"#,#0")&amp;" : "&amp;TEXT(_xlfn.XLOOKUP(TabTRADER[[#This Row],[ClickTick]],TabCalc[Ticker],TabCalc[NAfter])*(TabTRADER[[#This Row],[M]]-TabTRADER[[#This Row],[A]])*(1-Commission)*TabTRADER[[#This Row],[Scale]],"#,#0$")</f>
        <v>401 : -15,846$</v>
      </c>
      <c r="BD64" s="684">
        <f ca="1">_xlfn.XLOOKUP(TabTRADER[[#This Row],[ClickTick]],TabCalc[[#This Row],[Ticker]],TabCalc[[#This Row],[GL]])*(1-Commission)</f>
        <v>50138.08815379993</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0.16345930906561557</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-0.96386879917314394</v>
      </c>
      <c r="BO64" s="687">
        <f ca="1">(TabTRADER[[#This Row],[M]]-TabTRADER[[#This Row],[Agiotage]])/(TabTRADER[[#This Row],[M]]-TabTRADER[[#This Row],[A]])-1</f>
        <v>-6.4138185760949495</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-348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-31.3%</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-85$</v>
      </c>
      <c r="G65" s="225" t="str">
        <f ca="1">IFERROR(TRUNC(_xlfn.XLOOKUP(TabTRADER[[#This Row],[ClickTick]],TabCalc[Ticker],ListLastSalep),2)&amp;"x"&amp;_xlfn.XLOOKUP(TabTRADER[[#This Row],[ClickTick]],TabCalc[Ticker],ListLastSalen)&amp;"=   "&amp;TEXT(-_xlfn.XLOOKUP(TabTRADER[[#This Row],[ClickTick]],TabCalc[Ticker],ListReverseB),"#,#0")&amp;"$","")</f>
        <v>45.93x488=   -8,506$</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61.2% = 287</v>
      </c>
      <c r="I65" s="226" t="str">
        <f ca="1">IFERROR(TRUNC(TabCalc[[#This Row],[L_S1p]],2)&amp;"x"&amp;TabCalc[[#This Row],[L_S1n]]&amp;"=   "&amp;TEXT(TabCalc[[#This Row],[ReverseB1]],"#,#0"),"")</f>
        <v>51.5x490=   11,270</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14677.5</v>
      </c>
      <c r="M65" s="323">
        <f ca="1">_xlfn.XLOOKUP(TabTRADER[[#This Row],[ClickTick]],TabCalc[Ticker],TabCalc[Agiotage])</f>
        <v>1.1342155009451797E-2</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-0.23847695390781556</v>
      </c>
      <c r="S65" s="683">
        <f ca="1">_xlfn.XLOOKUP(TabTRADER[[#This Row],[ClickTick]],TabCalc[Ticker],TabCalc[Rev(MinStock)])*(1-Commission)</f>
        <v>-347.17000499999983</v>
      </c>
      <c r="T65" s="782">
        <f ca="1">_xlfn.XLOOKUP(TabTRADER[[#This Row],[ClickTick]],TabCalc[Ticker],TabCalc[Agiotage])</f>
        <v>1.1342155009451797E-2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56/56=&gt;2.0% / 2.0%</v>
      </c>
      <c r="V65" s="739" t="str">
        <f ca="1">_xlfn.XLOOKUP(TabTRADER[[#This Row],[ClickTick]],[1]!RTData[Ticker_Symbol],[1]!RTData[Currency])</f>
        <v>EUR</v>
      </c>
      <c r="W65" s="749">
        <f ca="1">_xlfn.XLOOKUP(TabTRADER[[#This Row],[ClickTick]],TabCalc[Ticker],TabCalc[M])</f>
        <v>28.5</v>
      </c>
      <c r="X65" s="1343"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347.17000499999983</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15960</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0.32046806806644851</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0.31055789473684203</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-0.76653306613226435</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0.31315789473684202</v>
      </c>
      <c r="AP65" s="825" cm="1">
        <f t="array" aca="1" ref="AP65" ca="1">_xlfn.IFS(         TabTRADER[[#This Row],[Traps]]=MDown,TabTRADER[[#This Row],[L_Bn]]*TabTRADER[[#This Row],[M]]*(-(TabTRADER[[#This Row],[L_Bp]]+TabTRADER[[#This Row],[M]])/TabTRADER[[#This Row],[M]])*(1-Commission)*TabTRADER[[#This Row],[Scale]],                               TRUE,"")</f>
        <v>347.17000499999989</v>
      </c>
      <c r="AQ65" s="1186" cm="1">
        <f t="array" aca="1" ref="AQ65" ca="1">_xlfn.IFS(   TabTRADER[[#This Row],[Traps]]=MUp,TabTRADER[[#This Row],[TakeGain_A]]-Commission,        TabTRADER[[#This Row],[Traps]]=MDown,(TabTRADER[[#This Row],[A]]-TabTRADER[[#This Row],[M]])/TabTRADER[[#This Row],[M]]-Commission,                              TRUE,"")</f>
        <v>0.46900119047619054</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7507.185437000001</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-8.92</v>
      </c>
      <c r="AU65" s="765" cm="1">
        <f t="array" aca="1" ref="AU65" ca="1">_xlfn.IFS(TabTRADER[[#This Row],[Traps]]=ReSaleGain,"",         TabTRADER[[#This Row],[Traps]]=MDown, (TabTRADER[[#This Row],[M]]-TabTRADER[[#This Row],[A]])/TabTRADER[[#This Row],[A]]*ComFactor,             TRUE, IFERROR((TabTRADER[[#This Row],[M]]-TabTRADER[[#This Row],[A]])/TabTRADER[[#This Row],[A]]*ComFactor,""))</f>
        <v>-0.3196348510894757</v>
      </c>
      <c r="AV65" s="762" cm="1">
        <f t="array" aca="1" ref="AV65" ca="1">_xlfn.IFS(               TabTRADER[[#This Row],[Traps]]=NoStock,(TabTRADER[[#This Row],[L_Sp]]-TabTRADER[[#This Row],[M]])/TabTRADER[[#This Row],[M]]-Commission,             TabTRADER[[#This Row],[A]]&lt;&gt;0,(TabTRADER[[#This Row],[A]]-TabTRADER[[#This Row],[M]])/TabTRADER[[#This Row],[M]]-Commission)</f>
        <v>0.46900119047619054</v>
      </c>
      <c r="AW65" s="324">
        <f ca="1">_xlfn.XLOOKUP(TabTRADER[[#This Row],[ClickTick]],TabCalc[Ticker],TabCalc[L_Sn])</f>
        <v>488</v>
      </c>
      <c r="AX65" s="728">
        <f ca="1">_xlfn.XLOOKUP(TabTRADER[[#This Row],[ClickTick]],TabCalc[Ticker],TabCalc[L_Sp])</f>
        <v>45.93</v>
      </c>
      <c r="AY65" s="764">
        <f ca="1">-IFERROR((TabTRADER[[#This Row],[M]]-TabTRADER[[#This Row],[L_Sp]])/TabTRADER[[#This Row],[L_Sp]],0)</f>
        <v>0.37949052906596997</v>
      </c>
      <c r="AZ65" s="729">
        <f ca="1">TabTRADER[[#This Row],[L_Sn]]*(TabTRADER[[#This Row],[M]]-TabTRADER[[#This Row],[L_Sp]])*(1-Commission)*TabTRADER[[#This Row],[Scale]]</f>
        <v>-8483.7248159999999</v>
      </c>
      <c r="BA65" s="692">
        <f ca="1">TabTRADER[[#This Row],[L_Sn]]*(TabTRADER[[#This Row],[Agiotage]]-TabTRADER[[#This Row],[M]])/(TabTRADER[[#This Row],[L_Bn]]*TabTRADER[[#This Row],[M]])</f>
        <v>-12.507840781246413</v>
      </c>
      <c r="BB65" s="635">
        <f ca="1">IFERROR((TabTRADER[[#This Row],[M]]-TabTRADER[[#This Row],[A]])/TabTRADER[[#This Row],[A]],0)</f>
        <v>-0.32046806806644851</v>
      </c>
      <c r="BC65" s="638" t="str">
        <f ca="1">TEXT(_xlfn.XLOOKUP(TabTRADER[[#This Row],[ClickTick]],TabCalc[Ticker],TabCalc[NAfter]),"#,#0")&amp;" : "&amp;TEXT(_xlfn.XLOOKUP(TabTRADER[[#This Row],[ClickTick]],TabCalc[Ticker],TabCalc[NAfter])*(TabTRADER[[#This Row],[M]]-TabTRADER[[#This Row],[A]])*(1-Commission)*TabTRADER[[#This Row],[Scale]],"#,#0$")</f>
        <v>560 : -7,507$</v>
      </c>
      <c r="BD65" s="684">
        <f ca="1">_xlfn.XLOOKUP(TabTRADER[[#This Row],[ClickTick]],TabCalc[[#This Row],[Ticker]],TabCalc[[#This Row],[GL]])*(1-Commission)</f>
        <v>-957.09656210000219</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0.31315789473684202</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-0.10925100051796727</v>
      </c>
      <c r="BO65" s="687">
        <f ca="1">(TabTRADER[[#This Row],[M]]-TabTRADER[[#This Row],[Agiotage]])/(TabTRADER[[#This Row],[M]]-TabTRADER[[#This Row],[A]])-1</f>
        <v>-3.1195918285097237</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+20,067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25.8%</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72/350=19,365</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22,067$</v>
      </c>
      <c r="G66" s="225" t="str">
        <f ca="1">IFERROR(TRUNC(_xlfn.XLOOKUP(TabTRADER[[#This Row],[ClickTick]],TabCalc[Ticker],ListLastSalep),2)&amp;"x"&amp;_xlfn.XLOOKUP(TabTRADER[[#This Row],[ClickTick]],TabCalc[Ticker],ListLastSalen)&amp;"=   "&amp;TEXT(-_xlfn.XLOOKUP(TabTRADER[[#This Row],[ClickTick]],TabCalc[Ticker],ListReverseB),"#,#0")&amp;"$","")</f>
        <v>260x150=   1,200$</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66" s="226" t="str">
        <f ca="1">IFERROR(TRUNC(TabCalc[[#This Row],[L_S1p]],2)&amp;"x"&amp;TabCalc[[#This Row],[L_S1n]]&amp;"=   "&amp;TEXT(TabCalc[[#This Row],[ReverseB1]],"#,#0"),"")</f>
        <v>230.21x300=   -11,336</v>
      </c>
      <c r="J66" s="295">
        <f ca="1">_xlfn.XLOOKUP(TabTRADER[[#This Row],[ClickTick]],TabCalc[Ticker],ListGravity)</f>
        <v>1.0314703895939132</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0.75361006056948199</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0.3480734406438632</v>
      </c>
      <c r="S66" s="683">
        <f ca="1">_xlfn.XLOOKUP(TabTRADER[[#This Row],[ClickTick]],TabCalc[Ticker],TabCalc[Rev(MinStock)])*(1-Commission)</f>
        <v>20014.955462000002</v>
      </c>
      <c r="T66" s="782">
        <f ca="1">_xlfn.XLOOKUP(TabTRADER[[#This Row],[ClickTick]],TabCalc[Ticker],TabCalc[Agiotage])</f>
        <v>0.75361006056948199</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-621/-621=&gt;-0.7% / -0.7%</v>
      </c>
      <c r="V66" s="739" t="str">
        <f ca="1">_xlfn.XLOOKUP(TabTRADER[[#This Row],[ClickTick]],[1]!RTData[Ticker_Symbol],[1]!RTData[Currency])</f>
        <v>USD</v>
      </c>
      <c r="W66" s="749">
        <f ca="1">_xlfn.XLOOKUP(TabTRADER[[#This Row],[ClickTick]],TabCalc[Ticker],TabCalc[M])</f>
        <v>267.99700000000001</v>
      </c>
      <c r="X66" s="1343"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^126/94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1196.4311700000019</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23787.98082392001</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0.34096276874981735</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2.7239886267383641E-2</v>
      </c>
      <c r="AL66" s="825" cm="1">
        <f t="array" aca="1" ref="AL66" ca="1">_xlfn.IFS(   TabTRADER[[#This Row],[Traps]]=SellMorePercentGain,                     MIN(TabTRADER[[#This Row],[L_Sn]],TabTRADER[[#This Row],[N]])*(TabTRADER[[#This Row],[M]]-TabTRADER[[#This Row],[L_Sp]])*(1-Commission)*TabTRADER[[#This Row],[Scale]],                    TRUE,"")</f>
        <v>1196.4311700000019</v>
      </c>
      <c r="AM66" s="1175">
        <f ca="1">_xlfn.XLOOKUP(TabTRADER[[#This Row],[ClickTick]],TabCalc[Ticker],TabCalc[Ann%RevLB])</f>
        <v>0.84098280960933391</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0.33836276874981736</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31898.796628611333</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290x68.14</v>
      </c>
      <c r="AU66" s="765" cm="1">
        <f t="array" aca="1" ref="AU66" ca="1">_xlfn.IFS(TabTRADER[[#This Row],[Traps]]=ReSaleGain,"",         TabTRADER[[#This Row],[Traps]]=MDown, (TabTRADER[[#This Row],[M]]-TabTRADER[[#This Row],[A]])/TabTRADER[[#This Row],[A]]*ComFactor,             TRUE, IFERROR((TabTRADER[[#This Row],[M]]-TabTRADER[[#This Row],[A]])/TabTRADER[[#This Row],[A]]*ComFactor,""))</f>
        <v>0.34007626555106779</v>
      </c>
      <c r="AV66" s="762" cm="1">
        <f t="array" aca="1" ref="AV66" ca="1">_xlfn.IFS(               TabTRADER[[#This Row],[Traps]]=NoStock,(TabTRADER[[#This Row],[L_Sp]]-TabTRADER[[#This Row],[M]])/TabTRADER[[#This Row],[M]]-Commission,             TabTRADER[[#This Row],[A]]&lt;&gt;0,(TabTRADER[[#This Row],[A]]-TabTRADER[[#This Row],[M]])/TabTRADER[[#This Row],[M]]-Commission)</f>
        <v>-0.25686714051703147</v>
      </c>
      <c r="AW66" s="324">
        <f ca="1">_xlfn.XLOOKUP(TabTRADER[[#This Row],[ClickTick]],TabCalc[Ticker],TabCalc[L_Sn])</f>
        <v>150</v>
      </c>
      <c r="AX66" s="728">
        <f ca="1">_xlfn.XLOOKUP(TabTRADER[[#This Row],[ClickTick]],TabCalc[Ticker],TabCalc[L_Sp])</f>
        <v>260</v>
      </c>
      <c r="AY66" s="764">
        <f ca="1">-IFERROR((TabTRADER[[#This Row],[M]]-TabTRADER[[#This Row],[L_Sp]])/TabTRADER[[#This Row],[L_Sp]],0)</f>
        <v>-3.0757692307692361E-2</v>
      </c>
      <c r="AZ66" s="729">
        <f ca="1">TabTRADER[[#This Row],[L_Sn]]*(TabTRADER[[#This Row],[M]]-TabTRADER[[#This Row],[L_Sp]])*(1-Commission)*TabTRADER[[#This Row],[Scale]]</f>
        <v>1196.4311700000019</v>
      </c>
      <c r="BA66" s="692">
        <f ca="1">TabTRADER[[#This Row],[L_Sn]]*(TabTRADER[[#This Row],[Agiotage]]-TabTRADER[[#This Row],[M]])/(TabTRADER[[#This Row],[L_Bn]]*TabTRADER[[#This Row],[M]])</f>
        <v>-0.5157868917332783</v>
      </c>
      <c r="BB66" s="635">
        <f ca="1">IFERROR((TabTRADER[[#This Row],[M]]-TabTRADER[[#This Row],[A]])/TabTRADER[[#This Row],[A]],0)</f>
        <v>0.34096276874981735</v>
      </c>
      <c r="BC66" s="638" t="str">
        <f ca="1">TEXT(_xlfn.XLOOKUP(TabTRADER[[#This Row],[ClickTick]],TabCalc[Ticker],TabCalc[NAfter]),"#,#0")&amp;" : "&amp;TEXT(_xlfn.XLOOKUP(TabTRADER[[#This Row],[ClickTick]],TabCalc[Ticker],TabCalc[NAfter])*(TabTRADER[[#This Row],[M]]-TabTRADER[[#This Row],[A]])*(1-Commission)*TabTRADER[[#This Row],[Scale]],"#,#0$")</f>
        <v>350 : 23,788$</v>
      </c>
      <c r="BD66" s="684">
        <f ca="1">_xlfn.XLOOKUP(TabTRADER[[#This Row],[ClickTick]],TabCalc[[#This Row],[Ticker]],TabCalc[[#This Row],[GL]])*(1-Commission)</f>
        <v>126025.27014599997</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2.9839886267383642E-2</v>
      </c>
      <c r="BJ66" s="679">
        <f ca="1">TabTRADER[[#This Row],[L_Sn]]*TabTRADER[[#This Row],[L_Sp]]+TabTRADER[[#This Row],[SellMore]]*TabTRADER[[#This Row],[M]]</f>
        <v>55079.82</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262.28485714285716</v>
      </c>
      <c r="BN66" s="687">
        <f ca="1">((_xlfn.XLOOKUP(TabTRADER[[#This Row],[ClickTick]],TabCalc[Ticker],TabCalc[NAfter])+TabTRADER[[#This Row],[L_Sn]])*(TabTRADER[[#This Row],[Agiotage]]-TabTRADER[[#This Row],[M]]))/(TabTRADER[[#This Row],[L_Sn]]*_xlfn.XLOOKUP(TabTRADER[[#This Row],[ClickTick]],TabCalc[Ticker],TabCalc[NAfter]))</f>
        <v>-2.5451751422802906</v>
      </c>
      <c r="BO66" s="687">
        <f ca="1">(TabTRADER[[#This Row],[M]]-TabTRADER[[#This Row],[Agiotage]])/(TabTRADER[[#This Row],[M]]-TabTRADER[[#This Row],[A]])-1</f>
        <v>2.9218122666445914</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+15,655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12.8%</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160/1,500=39,055</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12,768$</v>
      </c>
      <c r="G67" s="225" t="str">
        <f ca="1">IFERROR(TRUNC(_xlfn.XLOOKUP(TabTRADER[[#This Row],[ClickTick]],TabCalc[Ticker],ListLastSalep),2)&amp;"x"&amp;_xlfn.XLOOKUP(TabTRADER[[#This Row],[ClickTick]],TabCalc[Ticker],ListLastSalen)&amp;"=   "&amp;TEXT(-_xlfn.XLOOKUP(TabTRADER[[#This Row],[ClickTick]],TabCalc[Ticker],ListReverseB),"#,#0")&amp;"$","")</f>
        <v>221.65x500=   11,455$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0</v>
      </c>
      <c r="I67" s="226" t="str">
        <f ca="1">IFERROR(TRUNC(TabCalc[[#This Row],[L_S1p]],2)&amp;"x"&amp;TabCalc[[#This Row],[L_S1n]]&amp;"=   "&amp;TEXT(TabCalc[[#This Row],[ReverseB1]],"#,#0"),"")</f>
        <v>232.72x500=   -5,920</v>
      </c>
      <c r="J67" s="295">
        <f ca="1">_xlfn.XLOOKUP(TabTRADER[[#This Row],[ClickTick]],TabCalc[Ticker],ListGravity)</f>
        <v>1.1793592574419365</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0.6942070189669548</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0.1468229777256741</v>
      </c>
      <c r="S67" s="683">
        <f ca="1">_xlfn.XLOOKUP(TabTRADER[[#This Row],[ClickTick]],TabCalc[Ticker],TabCalc[Rev(MinStock)])*(1-Commission)</f>
        <v>15614.297</v>
      </c>
      <c r="T67" s="782">
        <f ca="1">_xlfn.XLOOKUP(TabTRADER[[#This Row],[ClickTick]],TabCalc[Ticker],TabCalc[Agiotage])</f>
        <v>0.6942070189669548</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2,340/2,340=&gt;0.6% / 0.6%</v>
      </c>
      <c r="V67" s="739" t="str">
        <f ca="1">_xlfn.XLOOKUP(TabTRADER[[#This Row],[ClickTick]],[1]!RTData[Ticker_Symbol],[1]!RTData[Currency])</f>
        <v>USD</v>
      </c>
      <c r="W67" s="749">
        <f ca="1">_xlfn.XLOOKUP(TabTRADER[[#This Row],[ClickTick]],TabCalc[Ticker],TabCalc[M])</f>
        <v>244.56</v>
      </c>
      <c r="X67" s="1343"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^195/367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11425.216999999997</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59634.546000000017</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0.19472398632144611</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9.107844291789334E-2</v>
      </c>
      <c r="AL67" s="825" cm="1">
        <f t="array" aca="1" ref="AL67" ca="1">_xlfn.IFS(   TabTRADER[[#This Row],[Traps]]=SellMorePercentGain,                     MIN(TabTRADER[[#This Row],[L_Sn]],TabTRADER[[#This Row],[N]])*(TabTRADER[[#This Row],[M]]-TabTRADER[[#This Row],[L_Sp]])*(1-Commission)*TabTRADER[[#This Row],[Scale]],                    TRUE,"")</f>
        <v>11425.216999999997</v>
      </c>
      <c r="AM67" s="1175">
        <f ca="1">_xlfn.XLOOKUP(TabTRADER[[#This Row],[ClickTick]],TabCalc[Ticker],TabCalc[Ann%RevLB])</f>
        <v>0.35474008041102467</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0.19212398632144612</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71246.822519589681</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500x39.86</v>
      </c>
      <c r="AU67" s="765" cm="1">
        <f t="array" aca="1" ref="AU67" ca="1">_xlfn.IFS(TabTRADER[[#This Row],[Traps]]=ReSaleGain,"",         TabTRADER[[#This Row],[Traps]]=MDown, (TabTRADER[[#This Row],[M]]-TabTRADER[[#This Row],[A]])/TabTRADER[[#This Row],[A]]*ComFactor,             TRUE, IFERROR((TabTRADER[[#This Row],[M]]-TabTRADER[[#This Row],[A]])/TabTRADER[[#This Row],[A]]*ComFactor,""))</f>
        <v>0.19421770395701035</v>
      </c>
      <c r="AV67" s="762" cm="1">
        <f t="array" aca="1" ref="AV67" ca="1">_xlfn.IFS(               TabTRADER[[#This Row],[Traps]]=NoStock,(TabTRADER[[#This Row],[L_Sp]]-TabTRADER[[#This Row],[M]])/TabTRADER[[#This Row],[M]]-Commission,             TabTRADER[[#This Row],[A]]&lt;&gt;0,(TabTRADER[[#This Row],[A]]-TabTRADER[[#This Row],[M]])/TabTRADER[[#This Row],[M]]-Commission)</f>
        <v>-0.16558658815832519</v>
      </c>
      <c r="AW67" s="324">
        <f ca="1">_xlfn.XLOOKUP(TabTRADER[[#This Row],[ClickTick]],TabCalc[Ticker],TabCalc[L_Sn])</f>
        <v>500</v>
      </c>
      <c r="AX67" s="728">
        <f ca="1">_xlfn.XLOOKUP(TabTRADER[[#This Row],[ClickTick]],TabCalc[Ticker],TabCalc[L_Sp])</f>
        <v>221.65</v>
      </c>
      <c r="AY67" s="764">
        <f ca="1">-IFERROR((TabTRADER[[#This Row],[M]]-TabTRADER[[#This Row],[L_Sp]])/TabTRADER[[#This Row],[L_Sp]],0)</f>
        <v>-0.10336115497405818</v>
      </c>
      <c r="AZ67" s="729">
        <f ca="1">TabTRADER[[#This Row],[L_Sn]]*(TabTRADER[[#This Row],[M]]-TabTRADER[[#This Row],[L_Sp]])*(1-Commission)*TabTRADER[[#This Row],[Scale]]</f>
        <v>11425.216999999997</v>
      </c>
      <c r="BA67" s="692">
        <f ca="1">TabTRADER[[#This Row],[L_Sn]]*(TabTRADER[[#This Row],[Agiotage]]-TabTRADER[[#This Row],[M]])/(TabTRADER[[#This Row],[L_Bn]]*TabTRADER[[#This Row],[M]])</f>
        <v>-0.99716140407684428</v>
      </c>
      <c r="BB67" s="635">
        <f ca="1">IFERROR((TabTRADER[[#This Row],[M]]-TabTRADER[[#This Row],[A]])/TabTRADER[[#This Row],[A]],0)</f>
        <v>0.19472398632144611</v>
      </c>
      <c r="BC67" s="638" t="str">
        <f ca="1">TEXT(_xlfn.XLOOKUP(TabTRADER[[#This Row],[ClickTick]],TabCalc[Ticker],TabCalc[NAfter]),"#,#0")&amp;" : "&amp;TEXT(_xlfn.XLOOKUP(TabTRADER[[#This Row],[ClickTick]],TabCalc[Ticker],TabCalc[NAfter])*(TabTRADER[[#This Row],[M]]-TabTRADER[[#This Row],[A]])*(1-Commission)*TabTRADER[[#This Row],[Scale]],"#,#0$")</f>
        <v>1,500 : 59,635$</v>
      </c>
      <c r="BD67" s="684">
        <f ca="1">_xlfn.XLOOKUP(TabTRADER[[#This Row],[ClickTick]],TabCalc[[#This Row],[Ticker]],TabCalc[[#This Row],[GL]])*(1-Commission)</f>
        <v>194681.35001339999</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9.3678442917893345E-2</v>
      </c>
      <c r="BJ67" s="679">
        <f ca="1">TabTRADER[[#This Row],[L_Sn]]*TabTRADER[[#This Row],[L_Sp]]+TabTRADER[[#This Row],[SellMore]]*TabTRADER[[#This Row],[M]]</f>
        <v>171965</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229.28666666666666</v>
      </c>
      <c r="BN67" s="687">
        <f ca="1">((_xlfn.XLOOKUP(TabTRADER[[#This Row],[ClickTick]],TabCalc[Ticker],TabCalc[NAfter])+TabTRADER[[#This Row],[L_Sn]])*(TabTRADER[[#This Row],[Agiotage]]-TabTRADER[[#This Row],[M]]))/(TabTRADER[[#This Row],[L_Sn]]*_xlfn.XLOOKUP(TabTRADER[[#This Row],[ClickTick]],TabCalc[Ticker],TabCalc[NAfter]))</f>
        <v>-0.65030878128275482</v>
      </c>
      <c r="BO67" s="687">
        <f ca="1">(TabTRADER[[#This Row],[M]]-TabTRADER[[#This Row],[Agiotage]])/(TabTRADER[[#This Row],[M]]-TabTRADER[[#This Row],[A]])-1</f>
        <v>5.1180580276225029</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+19,298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31.7%</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18/250=15,793</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10,465$</v>
      </c>
      <c r="G68" s="225" t="str">
        <f ca="1">IFERROR(TRUNC(_xlfn.XLOOKUP(TabTRADER[[#This Row],[ClickTick]],TabCalc[Ticker],ListLastSalep),2)&amp;"x"&amp;_xlfn.XLOOKUP(TabTRADER[[#This Row],[ClickTick]],TabCalc[Ticker],ListLastSalen)&amp;"=   "&amp;TEXT(-_xlfn.XLOOKUP(TabTRADER[[#This Row],[ClickTick]],TabCalc[Ticker],ListReverseB),"#,#0")&amp;"$","")</f>
        <v>660.2x54=   11,372$</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-24.2% = 0</v>
      </c>
      <c r="I68" s="226" t="str">
        <f ca="1">IFERROR(TRUNC(TabCalc[[#This Row],[L_S1p]],2)&amp;"x"&amp;TabCalc[[#This Row],[L_S1n]]&amp;"=   "&amp;TEXT(TabCalc[[#This Row],[ReverseB1]],"#,#0"),"")</f>
        <v>606.66x66=   -17,433</v>
      </c>
      <c r="J68" s="295">
        <f ca="1">_xlfn.XLOOKUP(TabTRADER[[#This Row],[ClickTick]],TabCalc[Ticker],ListGravity)</f>
        <v>1.08165280202113</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78372</v>
      </c>
      <c r="M68" s="323">
        <f ca="1">_xlfn.XLOOKUP(TabTRADER[[#This Row],[ClickTick]],TabCalc[Ticker],TabCalc[Agiotage])</f>
        <v>1.4227731762002704</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0.46325889331384101</v>
      </c>
      <c r="S68" s="683">
        <f ca="1">_xlfn.XLOOKUP(TabTRADER[[#This Row],[ClickTick]],TabCalc[Ticker],TabCalc[Rev(MinStock)])*(1-Commission)</f>
        <v>19248.124419999996</v>
      </c>
      <c r="T68" s="782">
        <f ca="1">_xlfn.XLOOKUP(TabTRADER[[#This Row],[ClickTick]],TabCalc[Ticker],TabCalc[Agiotage])</f>
        <v>1.4227731762002704</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-7,050/-7,050=&gt;-2.7% / -2.7%</v>
      </c>
      <c r="V68" s="739" t="str">
        <f ca="1">_xlfn.XLOOKUP(TabTRADER[[#This Row],[ClickTick]],[1]!RTData[Ticker_Symbol],[1]!RTData[Currency])</f>
        <v>EUR</v>
      </c>
      <c r="W68" s="749">
        <f ca="1">_xlfn.XLOOKUP(TabTRADER[[#This Row],[ClickTick]],TabCalc[Ticker],TabCalc[M])</f>
        <v>870.8</v>
      </c>
      <c r="X68" s="1343"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^176/218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11342.831759999994</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53966.084418799968</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0.3307395993959113</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0.23924657785943951</v>
      </c>
      <c r="AL68" s="825" cm="1">
        <f t="array" aca="1" ref="AL68" ca="1">_xlfn.IFS(   TabTRADER[[#This Row],[Traps]]=SellMorePercentGain,                     MIN(TabTRADER[[#This Row],[L_Sn]],TabTRADER[[#This Row],[N]])*(TabTRADER[[#This Row],[M]]-TabTRADER[[#This Row],[L_Sp]])*(1-Commission)*TabTRADER[[#This Row],[Scale]],                    TRUE,"")</f>
        <v>11342.831759999994</v>
      </c>
      <c r="AM68" s="1192">
        <f ca="1">_xlfn.XLOOKUP(TabTRADER[[#This Row],[ClickTick]],TabCalc[Ticker],TabCalc[Ann%RevLB])</f>
        <v>1.7932602321826103</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0.32813959939591131</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71814.805560439811</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70x216.42</v>
      </c>
      <c r="AU68" s="765" cm="1">
        <f t="array" aca="1" ref="AU68" ca="1">_xlfn.IFS(TabTRADER[[#This Row],[Traps]]=ReSaleGain,"",         TabTRADER[[#This Row],[Traps]]=MDown, (TabTRADER[[#This Row],[M]]-TabTRADER[[#This Row],[A]])/TabTRADER[[#This Row],[A]]*ComFactor,             TRUE, IFERROR((TabTRADER[[#This Row],[M]]-TabTRADER[[#This Row],[A]])/TabTRADER[[#This Row],[A]]*ComFactor,""))</f>
        <v>0.32987967643748189</v>
      </c>
      <c r="AV68" s="762" cm="1">
        <f t="array" aca="1" ref="AV68" ca="1">_xlfn.IFS(               TabTRADER[[#This Row],[Traps]]=NoStock,(TabTRADER[[#This Row],[L_Sp]]-TabTRADER[[#This Row],[M]])/TabTRADER[[#This Row],[M]]-Commission,             TabTRADER[[#This Row],[A]]&lt;&gt;0,(TabTRADER[[#This Row],[A]]-TabTRADER[[#This Row],[M]])/TabTRADER[[#This Row],[M]]-Commission)</f>
        <v>-0.25113818098300406</v>
      </c>
      <c r="AW68" s="324">
        <f ca="1">_xlfn.XLOOKUP(TabTRADER[[#This Row],[ClickTick]],TabCalc[Ticker],TabCalc[L_Sn])</f>
        <v>54</v>
      </c>
      <c r="AX68" s="728">
        <f ca="1">_xlfn.XLOOKUP(TabTRADER[[#This Row],[ClickTick]],TabCalc[Ticker],TabCalc[L_Sp])</f>
        <v>660.2</v>
      </c>
      <c r="AY68" s="764">
        <f ca="1">-IFERROR((TabTRADER[[#This Row],[M]]-TabTRADER[[#This Row],[L_Sp]])/TabTRADER[[#This Row],[L_Sp]],0)</f>
        <v>-0.31899424416843364</v>
      </c>
      <c r="AZ68" s="729">
        <f ca="1">TabTRADER[[#This Row],[L_Sn]]*(TabTRADER[[#This Row],[M]]-TabTRADER[[#This Row],[L_Sp]])*(1-Commission)*TabTRADER[[#This Row],[Scale]]</f>
        <v>11342.831759999994</v>
      </c>
      <c r="BA68" s="692">
        <f ca="1">TabTRADER[[#This Row],[L_Sn]]*(TabTRADER[[#This Row],[Agiotage]]-TabTRADER[[#This Row],[M]])/(TabTRADER[[#This Row],[L_Bn]]*TabTRADER[[#This Row],[M]])</f>
        <v>-0.77016815815481954</v>
      </c>
      <c r="BB68" s="635">
        <f ca="1">IFERROR((TabTRADER[[#This Row],[M]]-TabTRADER[[#This Row],[A]])/TabTRADER[[#This Row],[A]],0)</f>
        <v>0.3307395993959113</v>
      </c>
      <c r="BC68" s="638" t="str">
        <f ca="1">TEXT(_xlfn.XLOOKUP(TabTRADER[[#This Row],[ClickTick]],TabCalc[Ticker],TabCalc[NAfter]),"#,#0")&amp;" : "&amp;TEXT(_xlfn.XLOOKUP(TabTRADER[[#This Row],[ClickTick]],TabCalc[Ticker],TabCalc[NAfter])*(TabTRADER[[#This Row],[M]]-TabTRADER[[#This Row],[A]])*(1-Commission)*TabTRADER[[#This Row],[Scale]],"#,#0$")</f>
        <v>250 : 53,966$</v>
      </c>
      <c r="BD68" s="684">
        <f ca="1">_xlfn.XLOOKUP(TabTRADER[[#This Row],[ClickTick]],TabCalc[[#This Row],[Ticker]],TabCalc[[#This Row],[GL]])*(1-Commission)</f>
        <v>175797.29354920003</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0.2418465778594395</v>
      </c>
      <c r="BJ68" s="679">
        <f ca="1">TabTRADER[[#This Row],[L_Sn]]*TabTRADER[[#This Row],[L_Sp]]+TabTRADER[[#This Row],[SellMore]]*TabTRADER[[#This Row],[M]]</f>
        <v>148854.79999999999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808.99347826086955</v>
      </c>
      <c r="BN68" s="687">
        <f ca="1">((_xlfn.XLOOKUP(TabTRADER[[#This Row],[ClickTick]],TabCalc[Ticker],TabCalc[NAfter])+TabTRADER[[#This Row],[L_Sn]])*(TabTRADER[[#This Row],[Agiotage]]-TabTRADER[[#This Row],[M]]))/(TabTRADER[[#This Row],[L_Sn]]*_xlfn.XLOOKUP(TabTRADER[[#This Row],[ClickTick]],TabCalc[Ticker],TabCalc[NAfter]))</f>
        <v>-19.577087181810008</v>
      </c>
      <c r="BO68" s="687">
        <f ca="1">(TabTRADER[[#This Row],[M]]-TabTRADER[[#This Row],[Agiotage]])/(TabTRADER[[#This Row],[M]]-TabTRADER[[#This Row],[A]])-1</f>
        <v>3.0169527554790658</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+6,216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-11,658$</v>
      </c>
      <c r="G69" s="225" t="str">
        <f ca="1">IFERROR(TRUNC(_xlfn.XLOOKUP(TabTRADER[[#This Row],[ClickTick]],TabCalc[Ticker],ListLastSalep),2)&amp;"x"&amp;_xlfn.XLOOKUP(TabTRADER[[#This Row],[ClickTick]],TabCalc[Ticker],ListLastSalen)&amp;"=   "&amp;TEXT(-_xlfn.XLOOKUP(TabTRADER[[#This Row],[ClickTick]],TabCalc[Ticker],ListReverseB),"#,#0")&amp;"$","")</f>
        <v>3.16x11000=   -10,285$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42.0% = 5,348</v>
      </c>
      <c r="I69" s="226" t="str">
        <f ca="1">IFERROR(TRUNC(TabCalc[[#This Row],[L_S1p]],2)&amp;"x"&amp;TabCalc[[#This Row],[L_S1n]]&amp;"=   "&amp;TEXT(TabCalc[[#This Row],[ReverseB1]],"#,#0"),"")</f>
        <v>4.48x5000=   11,280</v>
      </c>
      <c r="J69" s="295">
        <f ca="1">_xlfn.XLOOKUP(TabTRADER[[#This Row],[ClickTick]],TabCalc[Ticker],ListGravity)</f>
        <v>1.4606741573033708</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242858.75</v>
      </c>
      <c r="M69" s="323">
        <f ca="1">_xlfn.XLOOKUP(TabTRADER[[#This Row],[ClickTick]],TabCalc[Ticker],TabCalc[Agiotage])</f>
        <v>0.54788075577674089</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0.15344738206324524</v>
      </c>
      <c r="S69" s="683">
        <f ca="1">_xlfn.XLOOKUP(TabTRADER[[#This Row],[ClickTick]],TabCalc[Ticker],TabCalc[Rev(MinStock)])*(1-Commission)</f>
        <v>6199.8384000000005</v>
      </c>
      <c r="T69" s="782">
        <f ca="1">_xlfn.XLOOKUP(TabTRADER[[#This Row],[ClickTick]],TabCalc[Ticker],TabCalc[Agiotage])</f>
        <v>0.54788075577674089</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550/550=&gt;-1.1% / -1.1%</v>
      </c>
      <c r="V69" s="739" t="str">
        <f ca="1">_xlfn.XLOOKUP(TabTRADER[[#This Row],[ClickTick]],[1]!RTData[Ticker_Symbol],[1]!RTData[Currency])</f>
        <v>USD</v>
      </c>
      <c r="W69" s="749">
        <f ca="1">_xlfn.XLOOKUP(TabTRADER[[#This Row],[ClickTick]],TabCalc[Ticker],TabCalc[M])</f>
        <v>2.2250000000000001</v>
      </c>
      <c r="X69" s="1343"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-137/245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10258.259</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10258.259</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0.29588607594936711</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0.31034301990319257</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-116098.85609999999</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-0.32146856956152747</v>
      </c>
      <c r="AV69" s="762" cm="1">
        <f t="array" aca="1" ref="AV69" ca="1">_xlfn.IFS(               TabTRADER[[#This Row],[Traps]]=NoStock,(TabTRADER[[#This Row],[L_Sp]]-TabTRADER[[#This Row],[M]])/TabTRADER[[#This Row],[M]]-Commission,             TabTRADER[[#This Row],[A]]&lt;&gt;0,(TabTRADER[[#This Row],[A]]-TabTRADER[[#This Row],[M]])/TabTRADER[[#This Row],[M]]-Commission)</f>
        <v>0.47299346271705822</v>
      </c>
      <c r="AW69" s="324">
        <f ca="1">_xlfn.XLOOKUP(TabTRADER[[#This Row],[ClickTick]],TabCalc[Ticker],TabCalc[L_Sn])</f>
        <v>11000</v>
      </c>
      <c r="AX69" s="728">
        <f ca="1">_xlfn.XLOOKUP(TabTRADER[[#This Row],[ClickTick]],TabCalc[Ticker],TabCalc[L_Sp])</f>
        <v>3.16</v>
      </c>
      <c r="AY69" s="764">
        <f ca="1">-IFERROR((TabTRADER[[#This Row],[M]]-TabTRADER[[#This Row],[L_Sp]])/TabTRADER[[#This Row],[L_Sp]],0)</f>
        <v>0.29588607594936711</v>
      </c>
      <c r="AZ69" s="729">
        <f ca="1">TabTRADER[[#This Row],[L_Sn]]*(TabTRADER[[#This Row],[M]]-TabTRADER[[#This Row],[L_Sp]])*(1-Commission)*TabTRADER[[#This Row],[Scale]]</f>
        <v>-10258.259</v>
      </c>
      <c r="BA69" s="692">
        <f ca="1">TabTRADER[[#This Row],[L_Sn]]*(TabTRADER[[#This Row],[Agiotage]]-TabTRADER[[#This Row],[M]])/(TabTRADER[[#This Row],[L_Bn]]*TabTRADER[[#This Row],[M]])</f>
        <v>-0.39482743042174107</v>
      </c>
      <c r="BB69" s="635">
        <f ca="1">IFERROR((TabTRADER[[#This Row],[M]]-TabTRADER[[#This Row],[A]])/TabTRADER[[#This Row],[A]],0)</f>
        <v>-0.32230656663477791</v>
      </c>
      <c r="BC69" s="638" t="str">
        <f ca="1">TEXT(_xlfn.XLOOKUP(TabTRADER[[#This Row],[ClickTick]],TabCalc[Ticker],TabCalc[NAfter]),"#,#0")&amp;" : "&amp;TEXT(_xlfn.XLOOKUP(TabTRADER[[#This Row],[ClickTick]],TabCalc[Ticker],TabCalc[NAfter])*(TabTRADER[[#This Row],[M]]-TabTRADER[[#This Row],[A]])*(1-Commission)*TabTRADER[[#This Row],[Scale]],"#,#0$")</f>
        <v>110,000 : -116,099$</v>
      </c>
      <c r="BD69" s="684">
        <f ca="1">_xlfn.XLOOKUP(TabTRADER[[#This Row],[ClickTick]],TabCalc[[#This Row],[Ticker]],TabCalc[[#This Row],[GL]])*(1-Commission)</f>
        <v>-136970.86740799999</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-1.6771192442232593E-4</v>
      </c>
      <c r="BO69" s="687">
        <f ca="1">(TabTRADER[[#This Row],[M]]-TabTRADER[[#This Row],[Agiotage]])/(TabTRADER[[#This Row],[M]]-TabTRADER[[#This Row],[A]])-1</f>
        <v>-2.5848860784831684</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-1,193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BUY  408</v>
      </c>
      <c r="F70" s="226" t="str">
        <f ca="1">TRUNC(TabCalc[[#This Row],[L_B1p]],2)&amp;"x"&amp;TabCalc[[#This Row],[L_B1n]]&amp;"=   "&amp;TEXT(TabCalc[[#This Row],[ReverseS1]],"#,#0")&amp;"$"</f>
        <v>-108.61x700=   1,484$</v>
      </c>
      <c r="G70" s="225" t="str">
        <f ca="1">IFERROR(TRUNC(_xlfn.XLOOKUP(TabTRADER[[#This Row],[ClickTick]],TabCalc[Ticker],ListLastSalep),2)&amp;"x"&amp;_xlfn.XLOOKUP(TabTRADER[[#This Row],[ClickTick]],TabCalc[Ticker],ListLastSalen)&amp;"=   "&amp;TEXT(-_xlfn.XLOOKUP(TabTRADER[[#This Row],[ClickTick]],TabCalc[Ticker],ListReverseB),"#,#0")&amp;"$","")</f>
        <v>122.97x330=   -4,039$</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408</v>
      </c>
      <c r="I70" s="226" t="str">
        <f ca="1">IFERROR(TRUNC(TabCalc[[#This Row],[L_S1p]],2)&amp;"x"&amp;TabCalc[[#This Row],[L_S1n]]&amp;"=   "&amp;TEXT(TabCalc[[#This Row],[ReverseB1]],"#,#0"),"")</f>
        <v>119.32x800=   6,872</v>
      </c>
      <c r="J70" s="295">
        <f ca="1">_xlfn.XLOOKUP(TabTRADER[[#This Row],[ClickTick]],TabCalc[Ticker],ListGravity)</f>
        <v>1.2108046599837441</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0.86820077434090825</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-1.9915029208709505E-2</v>
      </c>
      <c r="S70" s="683">
        <f ca="1">_xlfn.XLOOKUP(TabTRADER[[#This Row],[ClickTick]],TabCalc[Ticker],TabCalc[Rev(MinStock)])*(1-Commission)</f>
        <v>-1189.3995</v>
      </c>
      <c r="T70" s="782">
        <f ca="1">_xlfn.XLOOKUP(TabTRADER[[#This Row],[ClickTick]],TabCalc[Ticker],TabCalc[Agiotage])</f>
        <v>0.86820077434090825</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456/456=&gt;0.2% / 0.2%</v>
      </c>
      <c r="V70" s="739" t="str">
        <f ca="1">_xlfn.XLOOKUP(TabTRADER[[#This Row],[ClickTick]],[1]!RTData[Ticker_Symbol],[1]!RTData[Currency])</f>
        <v>USD</v>
      </c>
      <c r="W70" s="749">
        <f ca="1">_xlfn.XLOOKUP(TabTRADER[[#This Row],[ClickTick]],TabCalc[Ticker],TabCalc[M])</f>
        <v>110.73</v>
      </c>
      <c r="X70" s="1343"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^36/133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1189.3995</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132876</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-1.7180796407939047E-3</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1.7719696559198049E-2</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-0.22404407859798192</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2.0319696559198047E-2</v>
      </c>
      <c r="AP70" s="825" cm="1">
        <f t="array" aca="1" ref="AP70" ca="1">_xlfn.IFS(         TabTRADER[[#This Row],[Traps]]=MDown,TabTRADER[[#This Row],[L_Bn]]*TabTRADER[[#This Row],[M]]*(-(TabTRADER[[#This Row],[L_Bp]]+TabTRADER[[#This Row],[M]])/TabTRADER[[#This Row],[M]])*(1-Commission)*TabTRADER[[#This Row],[Scale]],                               TRUE,"")</f>
        <v>1189.3995</v>
      </c>
      <c r="AQ70" s="1186" cm="1">
        <f t="array" aca="1" ref="AQ70" ca="1">_xlfn.IFS(   TabTRADER[[#This Row],[Traps]]=MUp,TabTRADER[[#This Row],[TakeGain_A]]-Commission,        TabTRADER[[#This Row],[Traps]]=MDown,(TabTRADER[[#This Row],[A]]-TabTRADER[[#This Row],[M]])/TabTRADER[[#This Row],[M]]-Commission,                              TRUE,"")</f>
        <v>-4.3151329058670786E-3</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-227.30745999999397</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-2.25</v>
      </c>
      <c r="AU70" s="765" cm="1">
        <f t="array" aca="1" ref="AU70" ca="1">_xlfn.IFS(TabTRADER[[#This Row],[Traps]]=ReSaleGain,"",         TabTRADER[[#This Row],[Traps]]=MDown, (TabTRADER[[#This Row],[M]]-TabTRADER[[#This Row],[A]])/TabTRADER[[#This Row],[A]]*ComFactor,             TRUE, IFERROR((TabTRADER[[#This Row],[M]]-TabTRADER[[#This Row],[A]])/TabTRADER[[#This Row],[A]]*ComFactor,""))</f>
        <v>1.7136126337278404E-3</v>
      </c>
      <c r="AV70" s="762" cm="1">
        <f t="array" aca="1" ref="AV70" ca="1">_xlfn.IFS(               TabTRADER[[#This Row],[Traps]]=NoStock,(TabTRADER[[#This Row],[L_Sp]]-TabTRADER[[#This Row],[M]])/TabTRADER[[#This Row],[M]]-Commission,             TabTRADER[[#This Row],[A]]&lt;&gt;0,(TabTRADER[[#This Row],[A]]-TabTRADER[[#This Row],[M]])/TabTRADER[[#This Row],[M]]-Commission)</f>
        <v>-4.3151329058670786E-3</v>
      </c>
      <c r="AW70" s="324">
        <f ca="1">_xlfn.XLOOKUP(TabTRADER[[#This Row],[ClickTick]],TabCalc[Ticker],TabCalc[L_Sn])</f>
        <v>330</v>
      </c>
      <c r="AX70" s="728">
        <f ca="1">_xlfn.XLOOKUP(TabTRADER[[#This Row],[ClickTick]],TabCalc[Ticker],TabCalc[L_Sp])</f>
        <v>122.97</v>
      </c>
      <c r="AY70" s="764">
        <f ca="1">-IFERROR((TabTRADER[[#This Row],[M]]-TabTRADER[[#This Row],[L_Sp]])/TabTRADER[[#This Row],[L_Sp]],0)</f>
        <v>9.9536472310319549E-2</v>
      </c>
      <c r="AZ70" s="729">
        <f ca="1">TabTRADER[[#This Row],[L_Sn]]*(TabTRADER[[#This Row],[M]]-TabTRADER[[#This Row],[L_Sp]])*(1-Commission)*TabTRADER[[#This Row],[Scale]]</f>
        <v>-4028.6980799999983</v>
      </c>
      <c r="BA70" s="692">
        <f ca="1">TabTRADER[[#This Row],[L_Sn]]*(TabTRADER[[#This Row],[Agiotage]]-TabTRADER[[#This Row],[M]])/(TabTRADER[[#This Row],[L_Bn]]*TabTRADER[[#This Row],[M]])</f>
        <v>-0.6177595637947737</v>
      </c>
      <c r="BB70" s="635">
        <f ca="1">IFERROR((TabTRADER[[#This Row],[M]]-TabTRADER[[#This Row],[A]])/TabTRADER[[#This Row],[A]],0)</f>
        <v>1.7180796407939047E-3</v>
      </c>
      <c r="BC70" s="638" t="str">
        <f ca="1">TEXT(_xlfn.XLOOKUP(TabTRADER[[#This Row],[ClickTick]],TabCalc[Ticker],TabCalc[NAfter]),"#,#0")&amp;" : "&amp;TEXT(_xlfn.XLOOKUP(TabTRADER[[#This Row],[ClickTick]],TabCalc[Ticker],TabCalc[NAfter])*(TabTRADER[[#This Row],[M]]-TabTRADER[[#This Row],[A]])*(1-Commission)*TabTRADER[[#This Row],[Scale]],"#,#0$")</f>
        <v>1,200 : 227$</v>
      </c>
      <c r="BD70" s="684">
        <f ca="1">_xlfn.XLOOKUP(TabTRADER[[#This Row],[ClickTick]],TabCalc[[#This Row],[Ticker]],TabCalc[[#This Row],[GL]])*(1-Commission)</f>
        <v>36012.244087999978</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MAY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2.0319696559198047E-2</v>
      </c>
      <c r="BJ70" s="679">
        <f ca="1">TabTRADER[[#This Row],[L_Sn]]*TabTRADER[[#This Row],[L_Sp]]+TabTRADER[[#This Row],[SellMore]]*TabTRADER[[#This Row],[M]]</f>
        <v>114769.20000000001</v>
      </c>
      <c r="BK70" s="679">
        <f ca="1">INDEX(
  INDEX(TabConsolid[], , _xlfn.XMATCH(TabTRADER[[#This Row],[ClickTick]]&amp;1, TabConsolid[#Headers])),
  MATCH(
    -TabTRADER[[#This Row],[M]],
    INDEX(TabConsolid[], , _xlfn.XMATCH(TabTRADER[[#This Row],[ClickTick]]&amp;2, TabConsolid[#Headers])),
    -1
  )
)</f>
        <v>670</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56">
        <f ca="1">TabTRADER[[#This Row],[ReBuy]]/(TabTRADER[[#This Row],[L_Sn]]+TabTRADER[[#This Row],[SellMore]])</f>
        <v>114.76920000000001</v>
      </c>
      <c r="BN70" s="687">
        <f ca="1">((_xlfn.XLOOKUP(TabTRADER[[#This Row],[ClickTick]],TabCalc[Ticker],TabCalc[NAfter])+TabTRADER[[#This Row],[L_Sn]])*(TabTRADER[[#This Row],[Agiotage]]-TabTRADER[[#This Row],[M]]))/(TabTRADER[[#This Row],[L_Sn]]*_xlfn.XLOOKUP(TabTRADER[[#This Row],[ClickTick]],TabCalc[Ticker],TabCalc[NAfter]))</f>
        <v>-0.42446604246277375</v>
      </c>
      <c r="BO70" s="687">
        <f ca="1">(TabTRADER[[#This Row],[M]]-TabTRADER[[#This Row],[Agiotage]])/(TabTRADER[[#This Row],[M]]-TabTRADER[[#This Row],[A]])-1</f>
        <v>577.47371246509181</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36.9%</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44,053$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-31.2% = 0</v>
      </c>
      <c r="I71" s="226" t="str">
        <f ca="1">IFERROR(TRUNC(TabCalc[[#This Row],[L_S1p]],2)&amp;"x"&amp;TabCalc[[#This Row],[L_S1n]]&amp;"=   "&amp;TEXT(TabCalc[[#This Row],[ReverseB1]],"#,#0"),"")</f>
        <v>48.66x4000=   -87,999</v>
      </c>
      <c r="J71" s="295">
        <f ca="1">_xlfn.XLOOKUP(TabTRADER[[#This Row],[ClickTick]],TabCalc[Ticker],ListGravity)</f>
        <v>1.0352936597792246</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0.5369764209337996</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0.58359480053787538</v>
      </c>
      <c r="S71" s="683">
        <f ca="1">_xlfn.XLOOKUP(TabTRADER[[#This Row],[ClickTick]],TabCalc[Ticker],TabCalc[Rev(MinStock)])*(1-Commission)</f>
        <v>0</v>
      </c>
      <c r="T71" s="782">
        <f ca="1">_xlfn.XLOOKUP(TabTRADER[[#This Row],[ClickTick]],TabCalc[Ticker],TabCalc[Agiotage])</f>
        <v>0.5369764209337996</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71" s="739" t="str">
        <f ca="1">_xlfn.XLOOKUP(TabTRADER[[#This Row],[ClickTick]],[1]!RTData[Ticker_Symbol],[1]!RTData[Currency])</f>
        <v>USD</v>
      </c>
      <c r="W71" s="749">
        <f ca="1">_xlfn.XLOOKUP(TabTRADER[[#This Row],[ClickTick]],TabCalc[Ticker],TabCalc[M])</f>
        <v>70.66</v>
      </c>
      <c r="X71" s="1343"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0.45181532944867769</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0x70.66</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-0.31432657797905456</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-0.45291096242500001</v>
      </c>
      <c r="AZ71" s="729">
        <f ca="1">TabTRADER[[#This Row],[L_Sn]]*(TabTRADER[[#This Row],[M]]-TabTRADER[[#This Row],[L_Sp]])*(1-Commission)*TabTRADER[[#This Row],[Scale]]</f>
        <v>43938.66167999999</v>
      </c>
      <c r="BA71" s="692">
        <f ca="1">TabTRADER[[#This Row],[L_Sn]]*(TabTRADER[[#This Row],[Agiotage]]-TabTRADER[[#This Row],[M]])/(TabTRADER[[#This Row],[L_Bn]]*TabTRADER[[#This Row],[M]])</f>
        <v>-0.99240056013396827</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-7.5994398660316209E-3</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45.9%</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64,280$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72" s="226" t="str">
        <f ca="1">IFERROR(TRUNC(TabCalc[[#This Row],[L_S1p]],2)&amp;"x"&amp;TabCalc[[#This Row],[L_S1n]]&amp;"=   "&amp;TEXT(TabCalc[[#This Row],[ReverseB1]],"#,#0"),"")</f>
        <v>212.3x25000=   -38,475</v>
      </c>
      <c r="J72" s="295">
        <f ca="1">_xlfn.XLOOKUP(TabTRADER[[#This Row],[ClickTick]],TabCalc[Ticker],ListGravity)</f>
        <v>1.2673244128891317</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3.8509130711539581</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0.84800161485668146</v>
      </c>
      <c r="S72" s="683">
        <f ca="1">_xlfn.XLOOKUP(TabTRADER[[#This Row],[ClickTick]],TabCalc[Ticker],TabCalc[Rev(MinStock)])*(1-Commission)</f>
        <v>0</v>
      </c>
      <c r="T72" s="782">
        <f ca="1">_xlfn.XLOOKUP(TabTRADER[[#This Row],[ClickTick]],TabCalc[Ticker],TabCalc[Agiotage])</f>
        <v>3.8509130711539581</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-11.6%</v>
      </c>
      <c r="V72" s="739" t="str">
        <f ca="1">_xlfn.XLOOKUP(TabTRADER[[#This Row],[ClickTick]],[1]!RTData[Ticker_Symbol],[1]!RTData[Currency])</f>
        <v>GBp</v>
      </c>
      <c r="W72" s="749">
        <f ca="1">_xlfn.XLOOKUP(TabTRADER[[#This Row],[ClickTick]],TabCalc[Ticker],TabCalc[M])</f>
        <v>366.2</v>
      </c>
      <c r="X72" s="1343"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0.77877699323572791</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-2.1%</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0x3.662</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-0.17813249590387759</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-0.21290408055113927</v>
      </c>
      <c r="AZ72" s="729">
        <f ca="1">TabTRADER[[#This Row],[L_Sn]]*(TabTRADER[[#This Row],[M]]-TabTRADER[[#This Row],[L_Sp]])*(1-Commission)*TabTRADER[[#This Row],[Scale]]</f>
        <v>64112.871999999967</v>
      </c>
      <c r="BA72" s="692">
        <f ca="1">TabTRADER[[#This Row],[L_Sn]]*(TabTRADER[[#This Row],[Agiotage]]-TabTRADER[[#This Row],[M]])/(TabTRADER[[#This Row],[L_Bn]]*TabTRADER[[#This Row],[M]])</f>
        <v>-3.9579365038650574</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-1.0515874033735551E-2</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-42,863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-58.3%</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-48,017$</v>
      </c>
      <c r="G73" s="225" t="str">
        <f ca="1">IFERROR(TRUNC(_xlfn.XLOOKUP(TabTRADER[[#This Row],[ClickTick]],TabCalc[Ticker],ListLastSalep),2)&amp;"x"&amp;_xlfn.XLOOKUP(TabTRADER[[#This Row],[ClickTick]],TabCalc[Ticker],ListLastSalen)&amp;"=   "&amp;TEXT(-_xlfn.XLOOKUP(TabTRADER[[#This Row],[ClickTick]],TabCalc[Ticker],ListReverseB),"#,#0")&amp;"$","")</f>
        <v>124.1x200=   -19,915$</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406.0% = 50</v>
      </c>
      <c r="I73" s="226" t="str">
        <f ca="1">IFERROR(TRUNC(TabCalc[[#This Row],[L_S1p]],2)&amp;"x"&amp;TabCalc[[#This Row],[L_S1n]]&amp;"=   "&amp;TEXT(TabCalc[[#This Row],[ReverseB1]],"#,#0"),"")</f>
        <v>126.78x299=   30,574</v>
      </c>
      <c r="J73" s="295">
        <f ca="1">_xlfn.XLOOKUP(TabTRADER[[#This Row],[ClickTick]],TabCalc[Ticker],ListGravity)</f>
        <v>1.6432212028542303</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110362.5</v>
      </c>
      <c r="M73" s="323">
        <f ca="1">_xlfn.XLOOKUP(TabTRADER[[#This Row],[ClickTick]],TabCalc[Ticker],TabCalc[Agiotage])</f>
        <v>0.77200431078922915</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-0.36811757006745244</v>
      </c>
      <c r="S73" s="683">
        <f ca="1">_xlfn.XLOOKUP(TabTRADER[[#This Row],[ClickTick]],TabCalc[Ticker],TabCalc[Rev(MinStock)])*(1-Commission)</f>
        <v>-42751.356720000018</v>
      </c>
      <c r="T73" s="782">
        <f ca="1">_xlfn.XLOOKUP(TabTRADER[[#This Row],[ClickTick]],TabCalc[Ticker],TabCalc[Agiotage])</f>
        <v>0.77200431078922915</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3,275/3,275=&gt;0.8% / 0.8%</v>
      </c>
      <c r="V73" s="739" t="str">
        <f ca="1">_xlfn.XLOOKUP(TabTRADER[[#This Row],[ClickTick]],[1]!RTData[Ticker_Symbol],[1]!RTData[Currency])</f>
        <v>USD</v>
      </c>
      <c r="W73" s="749">
        <f ca="1">_xlfn.XLOOKUP(TabTRADER[[#This Row],[ClickTick]],TabCalc[Ticker],TabCalc[M])</f>
        <v>24.524999999999999</v>
      </c>
      <c r="X73" s="1343"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-176/123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42751.356720000018</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122625</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0.60273181270561382</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0.57997288481141707</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-0.45855475856153244</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0.58257288481141711</v>
      </c>
      <c r="AP73" s="825" cm="1">
        <f t="array" aca="1" ref="AP73" ca="1">_xlfn.IFS(         TabTRADER[[#This Row],[Traps]]=MDown,TabTRADER[[#This Row],[L_Bn]]*TabTRADER[[#This Row],[M]]*(-(TabTRADER[[#This Row],[L_Bp]]+TabTRADER[[#This Row],[M]])/TabTRADER[[#This Row],[M]])*(1-Commission)*TabTRADER[[#This Row],[Scale]],                               TRUE,"")</f>
        <v>42751.356720000018</v>
      </c>
      <c r="AQ73" s="1186" cm="1">
        <f t="array" aca="1" ref="AQ73" ca="1">_xlfn.IFS(   TabTRADER[[#This Row],[Traps]]=MUp,TabTRADER[[#This Row],[TakeGain_A]]-Commission,        TabTRADER[[#This Row],[Traps]]=MDown,(TabTRADER[[#This Row],[A]]-TabTRADER[[#This Row],[M]])/TabTRADER[[#This Row],[M]]-Commission,                              TRUE,"")</f>
        <v>1.5145912375127424</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185561.85700370002</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-14.28</v>
      </c>
      <c r="AU73" s="765" cm="1">
        <f t="array" aca="1" ref="AU73" ca="1">_xlfn.IFS(TabTRADER[[#This Row],[Traps]]=ReSaleGain,"",         TabTRADER[[#This Row],[Traps]]=MDown, (TabTRADER[[#This Row],[M]]-TabTRADER[[#This Row],[A]])/TabTRADER[[#This Row],[A]]*ComFactor,             TRUE, IFERROR((TabTRADER[[#This Row],[M]]-TabTRADER[[#This Row],[A]])/TabTRADER[[#This Row],[A]]*ComFactor,""))</f>
        <v>-0.6011647099925792</v>
      </c>
      <c r="AV73" s="762" cm="1">
        <f t="array" aca="1" ref="AV73" ca="1">_xlfn.IFS(               TabTRADER[[#This Row],[Traps]]=NoStock,(TabTRADER[[#This Row],[L_Sp]]-TabTRADER[[#This Row],[M]])/TabTRADER[[#This Row],[M]]-Commission,             TabTRADER[[#This Row],[A]]&lt;&gt;0,(TabTRADER[[#This Row],[A]]-TabTRADER[[#This Row],[M]])/TabTRADER[[#This Row],[M]]-Commission)</f>
        <v>1.5145912375127424</v>
      </c>
      <c r="AW73" s="324">
        <f ca="1">_xlfn.XLOOKUP(TabTRADER[[#This Row],[ClickTick]],TabCalc[Ticker],TabCalc[L_Sn])</f>
        <v>200</v>
      </c>
      <c r="AX73" s="728">
        <f ca="1">_xlfn.XLOOKUP(TabTRADER[[#This Row],[ClickTick]],TabCalc[Ticker],TabCalc[L_Sp])</f>
        <v>124.1</v>
      </c>
      <c r="AY73" s="764">
        <f ca="1">-IFERROR((TabTRADER[[#This Row],[M]]-TabTRADER[[#This Row],[L_Sp]])/TabTRADER[[#This Row],[L_Sp]],0)</f>
        <v>0.80237711522965349</v>
      </c>
      <c r="AZ73" s="729">
        <f ca="1">TabTRADER[[#This Row],[L_Sn]]*(TabTRADER[[#This Row],[M]]-TabTRADER[[#This Row],[L_Sp]])*(1-Commission)*TabTRADER[[#This Row],[Scale]]</f>
        <v>-19863.220999999994</v>
      </c>
      <c r="BA73" s="692">
        <f ca="1">TabTRADER[[#This Row],[L_Sn]]*(TabTRADER[[#This Row],[Agiotage]]-TabTRADER[[#This Row],[M]])/(TabTRADER[[#This Row],[L_Bn]]*TabTRADER[[#This Row],[M]])</f>
        <v>-6.4568116042706819E-2</v>
      </c>
      <c r="BB73" s="635">
        <f ca="1">IFERROR((TabTRADER[[#This Row],[M]]-TabTRADER[[#This Row],[A]])/TabTRADER[[#This Row],[A]],0)</f>
        <v>-0.60273181270561382</v>
      </c>
      <c r="BC73" s="638" t="str">
        <f ca="1">TEXT(_xlfn.XLOOKUP(TabTRADER[[#This Row],[ClickTick]],TabCalc[Ticker],TabCalc[NAfter]),"#,#0")&amp;" : "&amp;TEXT(_xlfn.XLOOKUP(TabTRADER[[#This Row],[ClickTick]],TabCalc[Ticker],TabCalc[NAfter])*(TabTRADER[[#This Row],[M]]-TabTRADER[[#This Row],[A]])*(1-Commission)*TabTRADER[[#This Row],[Scale]],"#,#0$")</f>
        <v>5,000 : -185,562$</v>
      </c>
      <c r="BD73" s="684">
        <f ca="1">_xlfn.XLOOKUP(TabTRADER[[#This Row],[ClickTick]],TabCalc[[#This Row],[Ticker]],TabCalc[[#This Row],[GL]])*(1-Commission)</f>
        <v>-175334.93681039999</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0.58257288481141711</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-0.12351557758389602</v>
      </c>
      <c r="BO73" s="687">
        <f ca="1">(TabTRADER[[#This Row],[M]]-TabTRADER[[#This Row],[Agiotage]])/(TabTRADER[[#This Row],[M]]-TabTRADER[[#This Row],[A]])-1</f>
        <v>-1.6383649712005854</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+23,116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36.3%</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-7,002$</v>
      </c>
      <c r="G74" s="225" t="str">
        <f ca="1">IFERROR(TRUNC(_xlfn.XLOOKUP(TabTRADER[[#This Row],[ClickTick]],TabCalc[Ticker],ListLastSalep),2)&amp;"x"&amp;_xlfn.XLOOKUP(TabTRADER[[#This Row],[ClickTick]],TabCalc[Ticker],ListLastSalen)&amp;"=   "&amp;TEXT(-_xlfn.XLOOKUP(TabTRADER[[#This Row],[ClickTick]],TabCalc[Ticker],ListReverseB),"#,#0")&amp;"$","")</f>
        <v>1.91x12000=   -3,841$</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20.1% = 15,620</v>
      </c>
      <c r="I74" s="226" t="str">
        <f ca="1">IFERROR(TRUNC(TabCalc[[#This Row],[L_S1p]],2)&amp;"x"&amp;TabCalc[[#This Row],[L_S1n]]&amp;"=   "&amp;TEXT(TabCalc[[#This Row],[ReverseB1]],"#,#0"),"")</f>
        <v>1.52x28000=   -1,957</v>
      </c>
      <c r="J74" s="295">
        <f ca="1">_xlfn.XLOOKUP(TabTRADER[[#This Row],[ClickTick]],TabCalc[Ticker],ListGravity)</f>
        <v>1.5095289011887538</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143091</v>
      </c>
      <c r="M74" s="323">
        <f ca="1">_xlfn.XLOOKUP(TabTRADER[[#This Row],[ClickTick]],TabCalc[Ticker],TabCalc[Agiotage])</f>
        <v>0.47099359807750735</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0.57104743083003962</v>
      </c>
      <c r="S74" s="683">
        <f ca="1">_xlfn.XLOOKUP(TabTRADER[[#This Row],[ClickTick]],TabCalc[Ticker],TabCalc[Rev(MinStock)])*(1-Commission)</f>
        <v>23055.898400000002</v>
      </c>
      <c r="T74" s="782">
        <f ca="1">_xlfn.XLOOKUP(TabTRADER[[#This Row],[ClickTick]],TabCalc[Ticker],TabCalc[Agiotage])</f>
        <v>0.47099359807750735</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26,388/26,388=&gt;5.3% / 5.3%</v>
      </c>
      <c r="V74" s="739" t="str">
        <f ca="1">_xlfn.XLOOKUP(TabTRADER[[#This Row],[ClickTick]],[1]!RTData[Ticker_Symbol],[1]!RTData[Currency])</f>
        <v>USD</v>
      </c>
      <c r="W74" s="749">
        <f ca="1">_xlfn.XLOOKUP(TabTRADER[[#This Row],[ClickTick]],TabCalc[Ticker],TabCalc[M])</f>
        <v>1.5899000000000001</v>
      </c>
      <c r="X74" s="1343"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-253/191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3831.2128799999978</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3831.2128799999978</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0.16759162303664912</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1.5341572768568228</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-72636.652399999977</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-0.27554171022783308</v>
      </c>
      <c r="AV74" s="762" cm="1">
        <f t="array" aca="1" ref="AV74" ca="1">_xlfn.IFS(               TabTRADER[[#This Row],[Traps]]=NoStock,(TabTRADER[[#This Row],[L_Sp]]-TabTRADER[[#This Row],[M]])/TabTRADER[[#This Row],[M]]-Commission,             TabTRADER[[#This Row],[A]]&lt;&gt;0,(TabTRADER[[#This Row],[A]]-TabTRADER[[#This Row],[M]])/TabTRADER[[#This Row],[M]]-Commission)</f>
        <v>0.3791116380485145</v>
      </c>
      <c r="AW74" s="324">
        <f ca="1">_xlfn.XLOOKUP(TabTRADER[[#This Row],[ClickTick]],TabCalc[Ticker],TabCalc[L_Sn])</f>
        <v>12000</v>
      </c>
      <c r="AX74" s="728">
        <f ca="1">_xlfn.XLOOKUP(TabTRADER[[#This Row],[ClickTick]],TabCalc[Ticker],TabCalc[L_Sp])</f>
        <v>1.91</v>
      </c>
      <c r="AY74" s="764">
        <f ca="1">-IFERROR((TabTRADER[[#This Row],[M]]-TabTRADER[[#This Row],[L_Sp]])/TabTRADER[[#This Row],[L_Sp]],0)</f>
        <v>0.16759162303664912</v>
      </c>
      <c r="AZ74" s="729">
        <f ca="1">TabTRADER[[#This Row],[L_Sn]]*(TabTRADER[[#This Row],[M]]-TabTRADER[[#This Row],[L_Sp]])*(1-Commission)*TabTRADER[[#This Row],[Scale]]</f>
        <v>-3831.2128799999978</v>
      </c>
      <c r="BA74" s="692">
        <f ca="1">TabTRADER[[#This Row],[L_Sn]]*(TabTRADER[[#This Row],[Agiotage]]-TabTRADER[[#This Row],[M]])/(TabTRADER[[#This Row],[L_Bn]]*TabTRADER[[#This Row],[M]])</f>
        <v>-0.21112769392839037</v>
      </c>
      <c r="BB74" s="635">
        <f ca="1">IFERROR((TabTRADER[[#This Row],[M]]-TabTRADER[[#This Row],[A]])/TabTRADER[[#This Row],[A]],0)</f>
        <v>-0.27625998619193209</v>
      </c>
      <c r="BC74" s="638" t="str">
        <f ca="1">TEXT(_xlfn.XLOOKUP(TabTRADER[[#This Row],[ClickTick]],TabCalc[Ticker],TabCalc[NAfter]),"#,#0")&amp;" : "&amp;TEXT(_xlfn.XLOOKUP(TabTRADER[[#This Row],[ClickTick]],TabCalc[Ticker],TabCalc[NAfter])*(TabTRADER[[#This Row],[M]]-TabTRADER[[#This Row],[A]])*(1-Commission)*TabTRADER[[#This Row],[Scale]],"#,#0$")</f>
        <v>120,000 : -72,637$</v>
      </c>
      <c r="BD74" s="684">
        <f ca="1">_xlfn.XLOOKUP(TabTRADER[[#This Row],[ClickTick]],TabCalc[[#This Row],[Ticker]],TabCalc[[#This Row],[GL]])*(1-Commission)</f>
        <v>-252345.082486</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-1.0256642017622851E-4</v>
      </c>
      <c r="BO74" s="687">
        <f ca="1">(TabTRADER[[#This Row],[M]]-TabTRADER[[#This Row],[Agiotage]])/(TabTRADER[[#This Row],[M]]-TabTRADER[[#This Row],[A]])-1</f>
        <v>-2.8436927502636307</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+10,631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6.7%</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4,708/17,000=75,009</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10,110$</v>
      </c>
      <c r="G75" s="225" t="str">
        <f ca="1">IFERROR(TRUNC(_xlfn.XLOOKUP(TabTRADER[[#This Row],[ClickTick]],TabCalc[Ticker],ListLastSalep),2)&amp;"x"&amp;_xlfn.XLOOKUP(TabTRADER[[#This Row],[ClickTick]],TabCalc[Ticker],ListLastSalen)&amp;"=   "&amp;TEXT(-_xlfn.XLOOKUP(TabTRADER[[#This Row],[ClickTick]],TabCalc[Ticker],ListReverseB),"#,#0")&amp;"$","")</f>
        <v>15.86x5000=   360$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75" s="226" t="str">
        <f ca="1">IFERROR(TRUNC(TabCalc[[#This Row],[L_S1p]],2)&amp;"x"&amp;TabCalc[[#This Row],[L_S1n]]&amp;"=   "&amp;TEXT(TabCalc[[#This Row],[ReverseB1]],"#,#0"),"")</f>
        <v>15.21x2000=   -1,444</v>
      </c>
      <c r="J75" s="295">
        <f ca="1">_xlfn.XLOOKUP(TabTRADER[[#This Row],[ClickTick]],TabCalc[Ticker],ListGravity)</f>
        <v>1.0119715038915391</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154540.4</v>
      </c>
      <c r="M75" s="323">
        <f ca="1">_xlfn.XLOOKUP(TabTRADER[[#This Row],[ClickTick]],TabCalc[Ticker],TabCalc[Agiotage])</f>
        <v>0.59620640604938813</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7.14189643577674E-2</v>
      </c>
      <c r="S75" s="683">
        <f ca="1">_xlfn.XLOOKUP(TabTRADER[[#This Row],[ClickTick]],TabCalc[Ticker],TabCalc[Rev(MinStock)])*(1-Commission)</f>
        <v>10602.980388000011</v>
      </c>
      <c r="T75" s="782">
        <f ca="1">_xlfn.XLOOKUP(TabTRADER[[#This Row],[ClickTick]],TabCalc[Ticker],TabCalc[Agiotage])</f>
        <v>0.59620640604938813</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-1,326/-1,326=&gt;-0.1% / -0.1%</v>
      </c>
      <c r="V75" s="739" t="str">
        <f ca="1">_xlfn.XLOOKUP(TabTRADER[[#This Row],[ClickTick]],[1]!RTData[Ticker_Symbol],[1]!RTData[Currency])</f>
        <v>EUR</v>
      </c>
      <c r="W75" s="749">
        <f ca="1">_xlfn.XLOOKUP(TabTRADER[[#This Row],[ClickTick]],TabCalc[Ticker],TabCalc[M])</f>
        <v>15.932</v>
      </c>
      <c r="X75" s="1343"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^34/271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359.06400000000474</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17658.4683</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6.993969728153844E-2</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1.9192066281697815E-3</v>
      </c>
      <c r="AL75" s="825" cm="1">
        <f t="array" aca="1" ref="AL75" ca="1">_xlfn.IFS(   TabTRADER[[#This Row],[Traps]]=SellMorePercentGain,                     MIN(TabTRADER[[#This Row],[L_Sn]],TabTRADER[[#This Row],[N]])*(TabTRADER[[#This Row],[M]]-TabTRADER[[#This Row],[L_Sp]])*(1-Commission)*TabTRADER[[#This Row],[Scale]],                    TRUE,"")</f>
        <v>359.06400000000474</v>
      </c>
      <c r="AM75" s="1175">
        <f ca="1">_xlfn.XLOOKUP(TabTRADER[[#This Row],[ClickTick]],TabCalc[Ticker],TabCalc[Ann%RevLB])</f>
        <v>0.52471075854686255</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6.7339697281538435E-2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18893.496227357642</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10,010x1.04</v>
      </c>
      <c r="AU75" s="765" cm="1">
        <f t="array" aca="1" ref="AU75" ca="1">_xlfn.IFS(TabTRADER[[#This Row],[Traps]]=ReSaleGain,"",         TabTRADER[[#This Row],[Traps]]=MDown, (TabTRADER[[#This Row],[M]]-TabTRADER[[#This Row],[A]])/TabTRADER[[#This Row],[A]]*ComFactor,             TRUE, IFERROR((TabTRADER[[#This Row],[M]]-TabTRADER[[#This Row],[A]])/TabTRADER[[#This Row],[A]]*ComFactor,""))</f>
        <v>6.9757854068606434E-2</v>
      </c>
      <c r="AV75" s="762" cm="1">
        <f t="array" aca="1" ref="AV75" ca="1">_xlfn.IFS(               TabTRADER[[#This Row],[Traps]]=NoStock,(TabTRADER[[#This Row],[L_Sp]]-TabTRADER[[#This Row],[M]])/TabTRADER[[#This Row],[M]]-Commission,             TabTRADER[[#This Row],[A]]&lt;&gt;0,(TabTRADER[[#This Row],[A]]-TabTRADER[[#This Row],[M]])/TabTRADER[[#This Row],[M]]-Commission)</f>
        <v>-6.7967887049371595E-2</v>
      </c>
      <c r="AW75" s="324">
        <f ca="1">_xlfn.XLOOKUP(TabTRADER[[#This Row],[ClickTick]],TabCalc[Ticker],TabCalc[L_Sn])</f>
        <v>5000</v>
      </c>
      <c r="AX75" s="728">
        <f ca="1">_xlfn.XLOOKUP(TabTRADER[[#This Row],[ClickTick]],TabCalc[Ticker],TabCalc[L_Sp])</f>
        <v>15.86</v>
      </c>
      <c r="AY75" s="764">
        <f ca="1">-IFERROR((TabTRADER[[#This Row],[M]]-TabTRADER[[#This Row],[L_Sp]])/TabTRADER[[#This Row],[L_Sp]],0)</f>
        <v>-4.5397225725095176E-3</v>
      </c>
      <c r="AZ75" s="729">
        <f ca="1">TabTRADER[[#This Row],[L_Sn]]*(TabTRADER[[#This Row],[M]]-TabTRADER[[#This Row],[L_Sp]])*(1-Commission)*TabTRADER[[#This Row],[Scale]]</f>
        <v>359.06400000000474</v>
      </c>
      <c r="BA75" s="692">
        <f ca="1">TabTRADER[[#This Row],[L_Sn]]*(TabTRADER[[#This Row],[Agiotage]]-TabTRADER[[#This Row],[M]])/(TabTRADER[[#This Row],[L_Bn]]*TabTRADER[[#This Row],[M]])</f>
        <v>-0.48080821996076395</v>
      </c>
      <c r="BB75" s="635">
        <f ca="1">IFERROR((TabTRADER[[#This Row],[M]]-TabTRADER[[#This Row],[A]])/TabTRADER[[#This Row],[A]],0)</f>
        <v>6.993969728153844E-2</v>
      </c>
      <c r="BC75" s="638" t="str">
        <f ca="1">TEXT(_xlfn.XLOOKUP(TabTRADER[[#This Row],[ClickTick]],TabCalc[Ticker],TabCalc[NAfter]),"#,#0")&amp;" : "&amp;TEXT(_xlfn.XLOOKUP(TabTRADER[[#This Row],[ClickTick]],TabCalc[Ticker],TabCalc[NAfter])*(TabTRADER[[#This Row],[M]]-TabTRADER[[#This Row],[A]])*(1-Commission)*TabTRADER[[#This Row],[Scale]],"#,#0$")</f>
        <v>17,000 : 17,658$</v>
      </c>
      <c r="BD75" s="684">
        <f ca="1">_xlfn.XLOOKUP(TabTRADER[[#This Row],[ClickTick]],TabCalc[[#This Row],[Ticker]],TabCalc[[#This Row],[GL]])*(1-Commission)</f>
        <v>33953.028006400076</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4.5192066281697814E-3</v>
      </c>
      <c r="BJ75" s="679">
        <f ca="1">TabTRADER[[#This Row],[L_Sn]]*TabTRADER[[#This Row],[L_Sp]]+TabTRADER[[#This Row],[SellMore]]*TabTRADER[[#This Row],[M]]</f>
        <v>190664.68</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15.901974979149291</v>
      </c>
      <c r="BN75" s="687">
        <f ca="1">((_xlfn.XLOOKUP(TabTRADER[[#This Row],[ClickTick]],TabCalc[Ticker],TabCalc[NAfter])+TabTRADER[[#This Row],[L_Sn]])*(TabTRADER[[#This Row],[Agiotage]]-TabTRADER[[#This Row],[M]]))/(TabTRADER[[#This Row],[L_Sn]]*_xlfn.XLOOKUP(TabTRADER[[#This Row],[ClickTick]],TabCalc[Ticker],TabCalc[NAfter]))</f>
        <v>-3.9692642243166288E-3</v>
      </c>
      <c r="BO75" s="687">
        <f ca="1">(TabTRADER[[#This Row],[M]]-TabTRADER[[#This Row],[Agiotage]])/(TabTRADER[[#This Row],[M]]-TabTRADER[[#This Row],[A]])-1</f>
        <v>13.725549498554628</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+4,078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20,661</v>
      </c>
      <c r="F76" s="226" t="str">
        <f ca="1">TRUNC(TabCalc[[#This Row],[L_B1p]],2)&amp;"x"&amp;TabCalc[[#This Row],[L_B1n]]&amp;"=   "&amp;TEXT(TabCalc[[#This Row],[ReverseS1]],"#,#0")&amp;"$"</f>
        <v>-480.9x10000=   -950$</v>
      </c>
      <c r="G76" s="225" t="str">
        <f ca="1">IFERROR(TRUNC(_xlfn.XLOOKUP(TabTRADER[[#This Row],[ClickTick]],TabCalc[Ticker],ListLastSalep),2)&amp;"x"&amp;_xlfn.XLOOKUP(TabTRADER[[#This Row],[ClickTick]],TabCalc[Ticker],ListLastSalen)&amp;"=   "&amp;TEXT(-_xlfn.XLOOKUP(TabTRADER[[#This Row],[ClickTick]],TabCalc[Ticker],ListReverseB),"#,#0")&amp;"$","")</f>
        <v>495.6x10000=   -2,420$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207</v>
      </c>
      <c r="I76" s="226" t="str">
        <f ca="1">IFERROR(TRUNC(TabCalc[[#This Row],[L_S1p]],2)&amp;"x"&amp;TabCalc[[#This Row],[L_S1n]]&amp;"=   "&amp;TEXT(TabCalc[[#This Row],[ReverseB1]],"#,#0"),"")</f>
        <v>544.2x18000=   13,104</v>
      </c>
      <c r="J76" s="295">
        <f ca="1">_xlfn.XLOOKUP(TabTRADER[[#This Row],[ClickTick]],TabCalc[Ticker],ListGravity)</f>
        <v>1.3284896054306323</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49779.840000000004</v>
      </c>
      <c r="M76" s="323">
        <f ca="1">_xlfn.XLOOKUP(TabTRADER[[#This Row],[ClickTick]],TabCalc[Ticker],TabCalc[Agiotage])</f>
        <v>1.0236134740717646</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4.520964058446595E-2</v>
      </c>
      <c r="S76" s="683">
        <f ca="1">_xlfn.XLOOKUP(TabTRADER[[#This Row],[ClickTick]],TabCalc[Ticker],TabCalc[Rev(MinStock)])*(1-Commission)</f>
        <v>4067.3971999999972</v>
      </c>
      <c r="T76" s="782">
        <f ca="1">_xlfn.XLOOKUP(TabTRADER[[#This Row],[ClickTick]],TabCalc[Ticker],TabCalc[Agiotage])</f>
        <v>1.0236134740717646</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-2,130/-2,130=&gt;-1.5% / -1.5%</v>
      </c>
      <c r="V76" s="739" t="str">
        <f ca="1">_xlfn.XLOOKUP(TabTRADER[[#This Row],[ClickTick]],[1]!RTData[Ticker_Symbol],[1]!RTData[Currency])</f>
        <v>GBp</v>
      </c>
      <c r="W76" s="749">
        <f ca="1">_xlfn.XLOOKUP(TabTRADER[[#This Row],[ClickTick]],TabCalc[Ticker],TabCalc[M])</f>
        <v>471.4</v>
      </c>
      <c r="X76" s="1343"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^33/141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2413.7080000000046</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2413.7080000000046</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4.882970137207434E-2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0.3321524614368927</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3119.867199999986</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2.2559997686055488E-2</v>
      </c>
      <c r="AV76" s="762" cm="1">
        <f t="array" aca="1" ref="AV76" ca="1">_xlfn.IFS(               TabTRADER[[#This Row],[Traps]]=NoStock,(TabTRADER[[#This Row],[L_Sp]]-TabTRADER[[#This Row],[M]])/TabTRADER[[#This Row],[M]]-Commission,             TabTRADER[[#This Row],[A]]&lt;&gt;0,(TabTRADER[[#This Row],[A]]-TabTRADER[[#This Row],[M]])/TabTRADER[[#This Row],[M]]-Commission)</f>
        <v>-2.4718512233064531E-2</v>
      </c>
      <c r="AW76" s="324">
        <f ca="1">_xlfn.XLOOKUP(TabTRADER[[#This Row],[ClickTick]],TabCalc[Ticker],TabCalc[L_Sn])</f>
        <v>10000</v>
      </c>
      <c r="AX76" s="728">
        <f ca="1">_xlfn.XLOOKUP(TabTRADER[[#This Row],[ClickTick]],TabCalc[Ticker],TabCalc[L_Sp])</f>
        <v>495.6</v>
      </c>
      <c r="AY76" s="764">
        <f ca="1">-IFERROR((TabTRADER[[#This Row],[M]]-TabTRADER[[#This Row],[L_Sp]])/TabTRADER[[#This Row],[L_Sp]],0)</f>
        <v>4.882970137207434E-2</v>
      </c>
      <c r="AZ76" s="729">
        <f ca="1">TabTRADER[[#This Row],[L_Sn]]*(TabTRADER[[#This Row],[M]]-TabTRADER[[#This Row],[L_Sp]])*(1-Commission)*TabTRADER[[#This Row],[Scale]]</f>
        <v>-2413.7080000000046</v>
      </c>
      <c r="BA76" s="692">
        <f ca="1">TabTRADER[[#This Row],[L_Sn]]*(TabTRADER[[#This Row],[Agiotage]]-TabTRADER[[#This Row],[M]])/(TabTRADER[[#This Row],[L_Bn]]*TabTRADER[[#This Row],[M]])</f>
        <v>-0.49891428354468415</v>
      </c>
      <c r="BB76" s="635">
        <f ca="1">IFERROR((TabTRADER[[#This Row],[M]]-TabTRADER[[#This Row],[A]])/TabTRADER[[#This Row],[A]],0)</f>
        <v>2.2618806583171735E-2</v>
      </c>
      <c r="BC76" s="638" t="str">
        <f ca="1">TEXT(_xlfn.XLOOKUP(TabTRADER[[#This Row],[ClickTick]],TabCalc[Ticker],TabCalc[NAfter]),"#,#0")&amp;" : "&amp;TEXT(_xlfn.XLOOKUP(TabTRADER[[#This Row],[ClickTick]],TabCalc[Ticker],TabCalc[NAfter])*(TabTRADER[[#This Row],[M]]-TabTRADER[[#This Row],[A]])*(1-Commission)*TabTRADER[[#This Row],[Scale]],"#,#0$")</f>
        <v>30,000 : 3,120$</v>
      </c>
      <c r="BD76" s="684">
        <f ca="1">_xlfn.XLOOKUP(TabTRADER[[#This Row],[ClickTick]],TabCalc[[#This Row],[Ticker]],TabCalc[[#This Row],[GL]])*(1-Commission)</f>
        <v>33382.382552200004</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14384000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6">
        <f ca="1">TabTRADER[[#This Row],[ReBuy]]/(TabTRADER[[#This Row],[L_Sn]]+TabTRADER[[#This Row],[SellMore]])</f>
        <v>479.46666666666664</v>
      </c>
      <c r="BN76" s="687">
        <f ca="1">((_xlfn.XLOOKUP(TabTRADER[[#This Row],[ClickTick]],TabCalc[Ticker],TabCalc[NAfter])+TabTRADER[[#This Row],[L_Sn]])*(TabTRADER[[#This Row],[Agiotage]]-TabTRADER[[#This Row],[M]]))/(TabTRADER[[#This Row],[L_Sn]]*_xlfn.XLOOKUP(TabTRADER[[#This Row],[ClickTick]],TabCalc[Ticker],TabCalc[NAfter]))</f>
        <v>-6.2716851536790436E-2</v>
      </c>
      <c r="BO76" s="687">
        <f ca="1">(TabTRADER[[#This Row],[M]]-TabTRADER[[#This Row],[Agiotage]])/(TabTRADER[[#This Row],[M]]-TabTRADER[[#This Row],[A]])-1</f>
        <v>44.112824794686418</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30.1%</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3,555$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0</v>
      </c>
      <c r="I77" s="226" t="str">
        <f ca="1">IFERROR(TRUNC(TabCalc[[#This Row],[L_S1p]],2)&amp;"x"&amp;TabCalc[[#This Row],[L_S1n]]&amp;"=   "&amp;TEXT(TabCalc[[#This Row],[ReverseB1]],"#,#0"),"")</f>
        <v>11.41x2000=   -3,590</v>
      </c>
      <c r="J77" s="295">
        <f ca="1">_xlfn.XLOOKUP(TabTRADER[[#This Row],[ClickTick]],TabCalc[Ticker],ListGravity)</f>
        <v>0.92881484286255211</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0.50174709695241093</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0.42988630211153234</v>
      </c>
      <c r="S77" s="683">
        <f ca="1">_xlfn.XLOOKUP(TabTRADER[[#This Row],[ClickTick]],TabCalc[Ticker],TabCalc[Rev(MinStock)])*(1-Commission)</f>
        <v>0</v>
      </c>
      <c r="T77" s="782">
        <f ca="1">_xlfn.XLOOKUP(TabTRADER[[#This Row],[ClickTick]],TabCalc[Ticker],TabCalc[Agiotage])</f>
        <v>0.50174709695241093</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1.8%</v>
      </c>
      <c r="V77" s="739" t="str">
        <f ca="1">_xlfn.XLOOKUP(TabTRADER[[#This Row],[ClickTick]],[1]!RTData[Ticker_Symbol],[1]!RTData[Currency])</f>
        <v>USD</v>
      </c>
      <c r="W77" s="749">
        <f ca="1">_xlfn.XLOOKUP(TabTRADER[[#This Row],[ClickTick]],TabCalc[Ticker],TabCalc[M])</f>
        <v>13.205</v>
      </c>
      <c r="X77" s="1343"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0.59068346855019715</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-9.2338735327527496E-2</v>
      </c>
      <c r="AW77" s="324">
        <f ca="1">_xlfn.XLOOKUP(TabTRADER[[#This Row],[ClickTick]],TabCalc[Ticker],TabCalc[L_Sn])</f>
        <v>3000</v>
      </c>
      <c r="AX77" s="728">
        <f ca="1">_xlfn.XLOOKUP(TabTRADER[[#This Row],[ClickTick]],TabCalc[Ticker],TabCalc[L_Sp])</f>
        <v>12.02</v>
      </c>
      <c r="AY77" s="764">
        <f ca="1">-IFERROR((TabTRADER[[#This Row],[M]]-TabTRADER[[#This Row],[L_Sp]])/TabTRADER[[#This Row],[L_Sp]],0)</f>
        <v>-9.858569051580704E-2</v>
      </c>
      <c r="AZ77" s="729">
        <f ca="1">TabTRADER[[#This Row],[L_Sn]]*(TabTRADER[[#This Row],[M]]-TabTRADER[[#This Row],[L_Sp]])*(1-Commission)*TabTRADER[[#This Row],[Scale]]</f>
        <v>3545.757000000001</v>
      </c>
      <c r="BA77" s="692">
        <f ca="1">TabTRADER[[#This Row],[L_Sn]]*(TabTRADER[[#This Row],[Agiotage]]-TabTRADER[[#This Row],[M]])/(TabTRADER[[#This Row],[L_Bn]]*TabTRADER[[#This Row],[M]])</f>
        <v>-0.28860097470005885</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-3.799675099980393E-2</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47.0%</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47,080$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43.1% = 0</v>
      </c>
      <c r="I78" s="226" t="str">
        <f ca="1">IFERROR(TRUNC(TabCalc[[#This Row],[L_S1p]],2)&amp;"x"&amp;TabCalc[[#This Row],[L_S1n]]&amp;"=   "&amp;TEXT(TabCalc[[#This Row],[ReverseB1]],"#,#0"),"")</f>
        <v>23.05x2000=   -63,162</v>
      </c>
      <c r="J78" s="295">
        <f ca="1">_xlfn.XLOOKUP(TabTRADER[[#This Row],[ClickTick]],TabCalc[Ticker],ListGravity)</f>
        <v>1.1838599926793558</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0.71645315441424917</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0.8880442294402211</v>
      </c>
      <c r="S78" s="683">
        <f ca="1">_xlfn.XLOOKUP(TabTRADER[[#This Row],[ClickTick]],TabCalc[Ticker],TabCalc[Rev(MinStock)])*(1-Commission)</f>
        <v>0</v>
      </c>
      <c r="T78" s="782">
        <f ca="1">_xlfn.XLOOKUP(TabTRADER[[#This Row],[ClickTick]],TabCalc[Ticker],TabCalc[Agiotage])</f>
        <v>0.71645315441424917</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78" s="739" t="str">
        <f ca="1">_xlfn.XLOOKUP(TabTRADER[[#This Row],[ClickTick]],[1]!RTData[Ticker_Symbol],[1]!RTData[Currency])</f>
        <v>EUR</v>
      </c>
      <c r="W78" s="749">
        <f ca="1">_xlfn.XLOOKUP(TabTRADER[[#This Row],[ClickTick]],TabCalc[Ticker],TabCalc[M])</f>
        <v>54.64</v>
      </c>
      <c r="X78" s="1343"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1.08740109727374</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0x54.64</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-0.43341991215226938</v>
      </c>
      <c r="AW78" s="324">
        <f ca="1">_xlfn.XLOOKUP(TabTRADER[[#This Row],[ClickTick]],TabCalc[Ticker],TabCalc[L_Sn])</f>
        <v>2000</v>
      </c>
      <c r="AX78" s="728">
        <f ca="1">_xlfn.XLOOKUP(TabTRADER[[#This Row],[ClickTick]],TabCalc[Ticker],TabCalc[L_Sp])</f>
        <v>31.1</v>
      </c>
      <c r="AY78" s="764">
        <f ca="1">-IFERROR((TabTRADER[[#This Row],[M]]-TabTRADER[[#This Row],[L_Sp]])/TabTRADER[[#This Row],[L_Sp]],0)</f>
        <v>-0.75691318327974266</v>
      </c>
      <c r="AZ78" s="729">
        <f ca="1">TabTRADER[[#This Row],[L_Sn]]*(TabTRADER[[#This Row],[M]]-TabTRADER[[#This Row],[L_Sp]])*(1-Commission)*TabTRADER[[#This Row],[Scale]]</f>
        <v>46957.591999999997</v>
      </c>
      <c r="BA78" s="692">
        <f ca="1">TabTRADER[[#This Row],[L_Sn]]*(TabTRADER[[#This Row],[Agiotage]]-TabTRADER[[#This Row],[M]])/(TabTRADER[[#This Row],[L_Bn]]*TabTRADER[[#This Row],[M]])</f>
        <v>-0.98688775339651824</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-1.3112246603481759E-2</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-8,562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-18.5%</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-2,416$</v>
      </c>
      <c r="G79" s="225" t="str">
        <f ca="1">IFERROR(TRUNC(_xlfn.XLOOKUP(TabTRADER[[#This Row],[ClickTick]],TabCalc[Ticker],ListLastSalep),2)&amp;"x"&amp;_xlfn.XLOOKUP(TabTRADER[[#This Row],[ClickTick]],TabCalc[Ticker],ListLastSalen)&amp;"=   "&amp;TEXT(-_xlfn.XLOOKUP(TabTRADER[[#This Row],[ClickTick]],TabCalc[Ticker],ListReverseB),"#,#0")&amp;"$","")</f>
        <v>192.01x200=   -7,478$</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24.2% = 134</v>
      </c>
      <c r="I79" s="226" t="str">
        <f ca="1">IFERROR(TRUNC(TabCalc[[#This Row],[L_S1p]],2)&amp;"x"&amp;TabCalc[[#This Row],[L_S1n]]&amp;"=   "&amp;TEXT(TabCalc[[#This Row],[ReverseB1]],"#,#0"),"")</f>
        <v>189.91x600=   21,174</v>
      </c>
      <c r="J79" s="295">
        <f ca="1">_xlfn.XLOOKUP(TabTRADER[[#This Row],[ClickTick]],TabCalc[Ticker],ListGravity)</f>
        <v>1.341809597723451</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54117</v>
      </c>
      <c r="M79" s="323">
        <f ca="1">_xlfn.XLOOKUP(TabTRADER[[#This Row],[ClickTick]],TabCalc[Ticker],TabCalc[Agiotage])</f>
        <v>0.73573772972622398</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-0.15582004804542474</v>
      </c>
      <c r="S79" s="683">
        <f ca="1">_xlfn.XLOOKUP(TabTRADER[[#This Row],[ClickTick]],TabCalc[Ticker],TabCalc[Rev(MinStock)])*(1-Commission)</f>
        <v>-8539.7387999999974</v>
      </c>
      <c r="T79" s="782">
        <f ca="1">_xlfn.XLOOKUP(TabTRADER[[#This Row],[ClickTick]],TabCalc[Ticker],TabCalc[Agiotage])</f>
        <v>0.73573772972622398</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2,106/2,106=&gt;0.5% / 0.5%</v>
      </c>
      <c r="V79" s="739" t="str">
        <f ca="1">_xlfn.XLOOKUP(TabTRADER[[#This Row],[ClickTick]],[1]!RTData[Ticker_Symbol],[1]!RTData[Currency])</f>
        <v>USD</v>
      </c>
      <c r="W79" s="749">
        <f ca="1">_xlfn.XLOOKUP(TabTRADER[[#This Row],[ClickTick]],TabCalc[Ticker],TabCalc[M])</f>
        <v>154.62</v>
      </c>
      <c r="X79" s="1343"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^18/139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8539.7387999999974</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139158</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0.14545208911596366</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0.18198155477945926</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-3.5059510810220567</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0.18458155477945926</v>
      </c>
      <c r="AP79" s="825" cm="1">
        <f t="array" aca="1" ref="AP79" ca="1">_xlfn.IFS(         TabTRADER[[#This Row],[Traps]]=MDown,TabTRADER[[#This Row],[L_Bn]]*TabTRADER[[#This Row],[M]]*(-(TabTRADER[[#This Row],[L_Bp]]+TabTRADER[[#This Row],[M]])/TabTRADER[[#This Row],[M]])*(1-Commission)*TabTRADER[[#This Row],[Scale]],                               TRUE,"")</f>
        <v>8539.7387999999955</v>
      </c>
      <c r="AQ79" s="1186" cm="1">
        <f t="array" aca="1" ref="AQ79" ca="1">_xlfn.IFS(   TabTRADER[[#This Row],[Traps]]=MUp,TabTRADER[[#This Row],[TakeGain_A]]-Commission,        TabTRADER[[#This Row],[Traps]]=MDown,(TabTRADER[[#This Row],[A]]-TabTRADER[[#This Row],[M]])/TabTRADER[[#This Row],[M]]-Commission,                              TRUE,"")</f>
        <v>0.16760940226217672</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23624.416399999984</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-28.54</v>
      </c>
      <c r="AU79" s="765" cm="1">
        <f t="array" aca="1" ref="AU79" ca="1">_xlfn.IFS(TabTRADER[[#This Row],[Traps]]=ReSaleGain,"",         TabTRADER[[#This Row],[Traps]]=MDown, (TabTRADER[[#This Row],[M]]-TabTRADER[[#This Row],[A]])/TabTRADER[[#This Row],[A]]*ComFactor,             TRUE, IFERROR((TabTRADER[[#This Row],[M]]-TabTRADER[[#This Row],[A]])/TabTRADER[[#This Row],[A]]*ComFactor,""))</f>
        <v>-0.14507391368426215</v>
      </c>
      <c r="AV79" s="762" cm="1">
        <f t="array" aca="1" ref="AV79" ca="1">_xlfn.IFS(               TabTRADER[[#This Row],[Traps]]=NoStock,(TabTRADER[[#This Row],[L_Sp]]-TabTRADER[[#This Row],[M]])/TabTRADER[[#This Row],[M]]-Commission,             TabTRADER[[#This Row],[A]]&lt;&gt;0,(TabTRADER[[#This Row],[A]]-TabTRADER[[#This Row],[M]])/TabTRADER[[#This Row],[M]]-Commission)</f>
        <v>0.16760940226217672</v>
      </c>
      <c r="AW79" s="324">
        <f ca="1">_xlfn.XLOOKUP(TabTRADER[[#This Row],[ClickTick]],TabCalc[Ticker],TabCalc[L_Sn])</f>
        <v>200</v>
      </c>
      <c r="AX79" s="728">
        <f ca="1">_xlfn.XLOOKUP(TabTRADER[[#This Row],[ClickTick]],TabCalc[Ticker],TabCalc[L_Sp])</f>
        <v>192.01</v>
      </c>
      <c r="AY79" s="764">
        <f ca="1">-IFERROR((TabTRADER[[#This Row],[M]]-TabTRADER[[#This Row],[L_Sp]])/TabTRADER[[#This Row],[L_Sp]],0)</f>
        <v>0.19472944117493873</v>
      </c>
      <c r="AZ79" s="729">
        <f ca="1">TabTRADER[[#This Row],[L_Sn]]*(TabTRADER[[#This Row],[M]]-TabTRADER[[#This Row],[L_Sp]])*(1-Commission)*TabTRADER[[#This Row],[Scale]]</f>
        <v>-7458.5571999999966</v>
      </c>
      <c r="BA79" s="692">
        <f ca="1">TabTRADER[[#This Row],[L_Sn]]*(TabTRADER[[#This Row],[Agiotage]]-TabTRADER[[#This Row],[M]])/(TabTRADER[[#This Row],[L_Bn]]*TabTRADER[[#This Row],[M]])</f>
        <v>-0.66349442620736332</v>
      </c>
      <c r="BB79" s="635">
        <f ca="1">IFERROR((TabTRADER[[#This Row],[M]]-TabTRADER[[#This Row],[A]])/TabTRADER[[#This Row],[A]],0)</f>
        <v>-0.14545208911596366</v>
      </c>
      <c r="BC79" s="638" t="str">
        <f ca="1">TEXT(_xlfn.XLOOKUP(TabTRADER[[#This Row],[ClickTick]],TabCalc[Ticker],TabCalc[NAfter]),"#,#0")&amp;" : "&amp;TEXT(_xlfn.XLOOKUP(TabTRADER[[#This Row],[ClickTick]],TabCalc[Ticker],TabCalc[NAfter])*(TabTRADER[[#This Row],[M]]-TabTRADER[[#This Row],[A]])*(1-Commission)*TabTRADER[[#This Row],[Scale]],"#,#0$")</f>
        <v>900 : -23,624$</v>
      </c>
      <c r="BD79" s="684">
        <f ca="1">_xlfn.XLOOKUP(TabTRADER[[#This Row],[ClickTick]],TabCalc[[#This Row],[Ticker]],TabCalc[[#This Row],[GL]])*(1-Commission)</f>
        <v>18061.766990000018</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0.18458155477945926</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-0.94040382498500641</v>
      </c>
      <c r="BO79" s="687">
        <f ca="1">(TabTRADER[[#This Row],[M]]-TabTRADER[[#This Row],[Agiotage]])/(TabTRADER[[#This Row],[M]]-TabTRADER[[#This Row],[A]])-1</f>
        <v>-6.8471601808345213</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28.5%</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15,346$</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-19.5% = 0</v>
      </c>
      <c r="I80" s="226" t="str">
        <f ca="1">IFERROR(TRUNC(TabCalc[[#This Row],[L_S1p]],2)&amp;"x"&amp;TabCalc[[#This Row],[L_S1n]]&amp;"=   "&amp;TEXT(TabCalc[[#This Row],[ReverseB1]],"#,#0"),"")</f>
        <v>495.03x100=   -29,032</v>
      </c>
      <c r="J80" s="295">
        <f ca="1">_xlfn.XLOOKUP(TabTRADER[[#This Row],[ClickTick]],TabCalc[Ticker],ListGravity)</f>
        <v>1.0209931814275073</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0.79592194313113518</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0.39842041020189589</v>
      </c>
      <c r="S80" s="683">
        <f ca="1">_xlfn.XLOOKUP(TabTRADER[[#This Row],[ClickTick]],TabCalc[Ticker],TabCalc[Rev(MinStock)])*(1-Commission)</f>
        <v>0</v>
      </c>
      <c r="T80" s="782">
        <f ca="1">_xlfn.XLOOKUP(TabTRADER[[#This Row],[ClickTick]],TabCalc[Ticker],TabCalc[Agiotage])</f>
        <v>0.79592194313113518</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80" s="739" t="str">
        <f ca="1">_xlfn.XLOOKUP(TabTRADER[[#This Row],[ClickTick]],[1]!RTData[Ticker_Symbol],[1]!RTData[Currency])</f>
        <v>USD</v>
      </c>
      <c r="W80" s="749">
        <f ca="1">_xlfn.XLOOKUP(TabTRADER[[#This Row],[ClickTick]],TabCalc[Ticker],TabCalc[M])</f>
        <v>785.35500000000002</v>
      </c>
      <c r="X80" s="1343"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0.35679439719572764</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0x785.35</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-0.19799571276683797</v>
      </c>
      <c r="AW80" s="324">
        <f ca="1">_xlfn.XLOOKUP(TabTRADER[[#This Row],[ClickTick]],TabCalc[Ticker],TabCalc[L_Sn])</f>
        <v>100</v>
      </c>
      <c r="AX80" s="728">
        <f ca="1">_xlfn.XLOOKUP(TabTRADER[[#This Row],[ClickTick]],TabCalc[Ticker],TabCalc[L_Sp])</f>
        <v>631.9</v>
      </c>
      <c r="AY80" s="764">
        <f ca="1">-IFERROR((TabTRADER[[#This Row],[M]]-TabTRADER[[#This Row],[L_Sp]])/TabTRADER[[#This Row],[L_Sp]],0)</f>
        <v>-0.24284696945719267</v>
      </c>
      <c r="AZ80" s="729">
        <f ca="1">TabTRADER[[#This Row],[L_Sn]]*(TabTRADER[[#This Row],[M]]-TabTRADER[[#This Row],[L_Sp]])*(1-Commission)*TabTRADER[[#This Row],[Scale]]</f>
        <v>15305.601700000003</v>
      </c>
      <c r="BA80" s="692">
        <f ca="1">TabTRADER[[#This Row],[L_Sn]]*(TabTRADER[[#This Row],[Agiotage]]-TabTRADER[[#This Row],[M]])/(TabTRADER[[#This Row],[L_Bn]]*TabTRADER[[#This Row],[M]])</f>
        <v>-0.99898654501068807</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-1.0134549893120459E-3</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-50,116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-417.3%</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-21,598$</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2.0080321285140559</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12655.425000000001</v>
      </c>
      <c r="M81" s="323">
        <f ca="1">_xlfn.XLOOKUP(TabTRADER[[#This Row],[ClickTick]],TabCalc[Ticker],TabCalc[Agiotage])</f>
        <v>0.35601021921338849</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-0.80667701863354035</v>
      </c>
      <c r="S81" s="683">
        <f ca="1">_xlfn.XLOOKUP(TabTRADER[[#This Row],[ClickTick]],TabCalc[Ticker],TabCalc[Rev(MinStock)])*(1-Commission)</f>
        <v>-49985.862970999995</v>
      </c>
      <c r="T81" s="782">
        <f ca="1">_xlfn.XLOOKUP(TabTRADER[[#This Row],[ClickTick]],TabCalc[Ticker],TabCalc[Agiotage])</f>
        <v>0.35601021921338849</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1,319/1,319=&gt;8.3% / 8.3%</v>
      </c>
      <c r="V81" s="739" t="str">
        <f ca="1">_xlfn.XLOOKUP(TabTRADER[[#This Row],[ClickTick]],[1]!RTData[Ticker_Symbol],[1]!RTData[Currency])</f>
        <v>USD</v>
      </c>
      <c r="W81" s="749">
        <f ca="1">_xlfn.XLOOKUP(TabTRADER[[#This Row],[ClickTick]],TabCalc[Ticker],TabCalc[M])</f>
        <v>1.2450000000000001</v>
      </c>
      <c r="X81" s="1343"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-317/19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49985.862970999995</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19319.91</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0.94256673318888928</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4.1700907630522082</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-1.0048571858410884</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4.1726907630522083</v>
      </c>
      <c r="AP81" s="825" cm="1">
        <f t="array" aca="1" ref="AP81" ca="1">_xlfn.IFS(         TabTRADER[[#This Row],[Traps]]=MDown,TabTRADER[[#This Row],[L_Bn]]*TabTRADER[[#This Row],[M]]*(-(TabTRADER[[#This Row],[L_Bp]]+TabTRADER[[#This Row],[M]])/TabTRADER[[#This Row],[M]])*(1-Commission)*TabTRADER[[#This Row],[Scale]],                               TRUE,"")</f>
        <v>49985.862970999995</v>
      </c>
      <c r="AQ81" s="1186" cm="1">
        <f t="array" aca="1" ref="AQ81" ca="1">_xlfn.IFS(   TabTRADER[[#This Row],[Traps]]=MUp,TabTRADER[[#This Row],[TakeGain_A]]-Commission,        TabTRADER[[#This Row],[Traps]]=MDown,(TabTRADER[[#This Row],[A]]-TabTRADER[[#This Row],[M]])/TabTRADER[[#This Row],[M]]-Commission,                              TRUE,"")</f>
        <v>16.408911751348736</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316244.55078200001</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-5.19</v>
      </c>
      <c r="AU81" s="765" cm="1">
        <f t="array" aca="1" ref="AU81" ca="1">_xlfn.IFS(TabTRADER[[#This Row],[Traps]]=ReSaleGain,"",         TabTRADER[[#This Row],[Traps]]=MDown, (TabTRADER[[#This Row],[M]]-TabTRADER[[#This Row],[A]])/TabTRADER[[#This Row],[A]]*ComFactor,             TRUE, IFERROR((TabTRADER[[#This Row],[M]]-TabTRADER[[#This Row],[A]])/TabTRADER[[#This Row],[A]]*ComFactor,""))</f>
        <v>-0.94011605968259815</v>
      </c>
      <c r="AV81" s="762" cm="1">
        <f t="array" aca="1" ref="AV81" ca="1">_xlfn.IFS(               TabTRADER[[#This Row],[Traps]]=NoStock,(TabTRADER[[#This Row],[L_Sp]]-TabTRADER[[#This Row],[M]])/TabTRADER[[#This Row],[M]]-Commission,             TabTRADER[[#This Row],[A]]&lt;&gt;0,(TabTRADER[[#This Row],[A]]-TabTRADER[[#This Row],[M]])/TabTRADER[[#This Row],[M]]-Commission)</f>
        <v>16.408911751348736</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-0.94256673318888928</v>
      </c>
      <c r="BC81" s="638" t="str">
        <f ca="1">TEXT(_xlfn.XLOOKUP(TabTRADER[[#This Row],[ClickTick]],TabCalc[Ticker],TabCalc[NAfter]),"#,#0")&amp;" : "&amp;TEXT(_xlfn.XLOOKUP(TabTRADER[[#This Row],[ClickTick]],TabCalc[Ticker],TabCalc[NAfter])*(TabTRADER[[#This Row],[M]]-TabTRADER[[#This Row],[A]])*(1-Commission)*TabTRADER[[#This Row],[Scale]],"#,#0$")</f>
        <v>15,518 : -316,245$</v>
      </c>
      <c r="BD81" s="684">
        <f ca="1">_xlfn.XLOOKUP(TabTRADER[[#This Row],[ClickTick]],TabCalc[[#This Row],[Ticker]],TabCalc[[#This Row],[GL]])*(1-Commission)</f>
        <v>-316244.55078200001</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4.1726907630522083</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-1.0435089726963995</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+2,001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5.2%</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3,902</v>
      </c>
      <c r="F82" s="226" t="str">
        <f ca="1">TRUNC(TabCalc[[#This Row],[L_B1p]],2)&amp;"x"&amp;TabCalc[[#This Row],[L_B1n]]&amp;"=   "&amp;TEXT(TabCalc[[#This Row],[ReverseS1]],"#,#0")&amp;"$"</f>
        <v>-33.84x1200=   -1,770$</v>
      </c>
      <c r="G82" s="225" t="str">
        <f ca="1">IFERROR(TRUNC(_xlfn.XLOOKUP(TabTRADER[[#This Row],[ClickTick]],TabCalc[Ticker],ListLastSalep),2)&amp;"x"&amp;_xlfn.XLOOKUP(TabTRADER[[#This Row],[ClickTick]],TabCalc[Ticker],ListLastSalen)&amp;"=   "&amp;TEXT(-_xlfn.XLOOKUP(TabTRADER[[#This Row],[ClickTick]],TabCalc[Ticker],ListReverseB),"#,#0")&amp;"$","")</f>
        <v>33.64x1200=   -1,538$</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3,902</v>
      </c>
      <c r="I82" s="226" t="str">
        <f ca="1">IFERROR(TRUNC(TabCalc[[#This Row],[L_S1p]],2)&amp;"x"&amp;TabCalc[[#This Row],[L_S1n]]&amp;"=   "&amp;TEXT(TabCalc[[#This Row],[ReverseB1]],"#,#0"),"")</f>
        <v>28.54x2000=   -7,650</v>
      </c>
      <c r="J82" s="295">
        <f ca="1">_xlfn.XLOOKUP(TabTRADER[[#This Row],[ClickTick]],TabCalc[Ticker],ListGravity)</f>
        <v>1.0527940676656882</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0.64167079567908047</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5.4323818955351391E-2</v>
      </c>
      <c r="S82" s="683">
        <f ca="1">_xlfn.XLOOKUP(TabTRADER[[#This Row],[ClickTick]],TabCalc[Ticker],TabCalc[Rev(MinStock)])*(1-Commission)</f>
        <v>1995.9170880000042</v>
      </c>
      <c r="T82" s="782">
        <f ca="1">_xlfn.XLOOKUP(TabTRADER[[#This Row],[ClickTick]],TabCalc[Ticker],TabCalc[Agiotage])</f>
        <v>0.64167079567908047</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1,446/1,446=&gt;2.7% / 2.7%</v>
      </c>
      <c r="V82" s="739" t="str">
        <f ca="1">_xlfn.XLOOKUP(TabTRADER[[#This Row],[ClickTick]],[1]!RTData[Ticker_Symbol],[1]!RTData[Currency])</f>
        <v>USD</v>
      </c>
      <c r="W82" s="749">
        <f ca="1">_xlfn.XLOOKUP(TabTRADER[[#This Row],[ClickTick]],TabCalc[Ticker],TabCalc[M])</f>
        <v>32.365000000000002</v>
      </c>
      <c r="X82" s="1343"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1533.831641999994</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1533.831641999994</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3.8087885747487893E-2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6.9844910085451795E-2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1995.9170880000042</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5.4182577026067477E-2</v>
      </c>
      <c r="AV82" s="762" cm="1">
        <f t="array" aca="1" ref="AV82" ca="1">_xlfn.IFS(               TabTRADER[[#This Row],[Traps]]=NoStock,(TabTRADER[[#This Row],[L_Sp]]-TabTRADER[[#This Row],[M]])/TabTRADER[[#This Row],[M]]-Commission,             TabTRADER[[#This Row],[A]]&lt;&gt;0,(TabTRADER[[#This Row],[A]]-TabTRADER[[#This Row],[M]])/TabTRADER[[#This Row],[M]]-Commission)</f>
        <v>-5.4124795303568778E-2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3.8087885747487893E-2</v>
      </c>
      <c r="AZ82" s="729">
        <f ca="1">TabTRADER[[#This Row],[L_Sn]]*(TabTRADER[[#This Row],[M]]-TabTRADER[[#This Row],[L_Sp]])*(1-Commission)*TabTRADER[[#This Row],[Scale]]</f>
        <v>-1533.831641999994</v>
      </c>
      <c r="BA82" s="692">
        <f ca="1">TabTRADER[[#This Row],[L_Sn]]*(TabTRADER[[#This Row],[Agiotage]]-TabTRADER[[#This Row],[M]])/(TabTRADER[[#This Row],[L_Bn]]*TabTRADER[[#This Row],[M]])</f>
        <v>-0.98017392876010878</v>
      </c>
      <c r="BB82" s="635">
        <f ca="1">IFERROR((TabTRADER[[#This Row],[M]]-TabTRADER[[#This Row],[A]])/TabTRADER[[#This Row],[A]],0)</f>
        <v>5.4323818955351391E-2</v>
      </c>
      <c r="BC82" s="638" t="str">
        <f ca="1">TEXT(_xlfn.XLOOKUP(TabTRADER[[#This Row],[ClickTick]],TabCalc[Ticker],TabCalc[NAfter]),"#,#0")&amp;" : "&amp;TEXT(_xlfn.XLOOKUP(TabTRADER[[#This Row],[ClickTick]],TabCalc[Ticker],TabCalc[NAfter])*(TabTRADER[[#This Row],[M]]-TabTRADER[[#This Row],[A]])*(1-Commission)*TabTRADER[[#This Row],[Scale]],"#,#0$")</f>
        <v>1,200 : 1,996$</v>
      </c>
      <c r="BD82" s="684">
        <f ca="1">_xlfn.XLOOKUP(TabTRADER[[#This Row],[ClickTick]],TabCalc[[#This Row],[Ticker]],TabCalc[[#This Row],[GL]])*(1-Commission)</f>
        <v>-18913.147630000003</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79213.829999999987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33.005762499999996</v>
      </c>
      <c r="BN82" s="687">
        <f ca="1">((_xlfn.XLOOKUP(TabTRADER[[#This Row],[ClickTick]],TabCalc[Ticker],TabCalc[NAfter])+TabTRADER[[#This Row],[L_Sn]])*(TabTRADER[[#This Row],[Agiotage]]-TabTRADER[[#This Row],[M]]))/(TabTRADER[[#This Row],[L_Sn]]*_xlfn.XLOOKUP(TabTRADER[[#This Row],[ClickTick]],TabCalc[Ticker],TabCalc[NAfter]))</f>
        <v>-5.2872215340534864E-2</v>
      </c>
      <c r="BO82" s="687">
        <f ca="1">(TabTRADER[[#This Row],[M]]-TabTRADER[[#This Row],[Agiotage]])/(TabTRADER[[#This Row],[M]]-TabTRADER[[#This Row],[A]])-1</f>
        <v>18.02334444970068</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-1,459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898$</v>
      </c>
      <c r="G83" s="225" t="str">
        <f ca="1">IFERROR(TRUNC(_xlfn.XLOOKUP(TabTRADER[[#This Row],[ClickTick]],TabCalc[Ticker],ListLastSalep),2)&amp;"x"&amp;_xlfn.XLOOKUP(TabTRADER[[#This Row],[ClickTick]],TabCalc[Ticker],ListLastSalen)&amp;"=   "&amp;TEXT(-_xlfn.XLOOKUP(TabTRADER[[#This Row],[ClickTick]],TabCalc[Ticker],ListReverseB),"#,#0")&amp;"$","")</f>
        <v>592.68x100=   -4,138$</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 = 121</v>
      </c>
      <c r="I83" s="226" t="str">
        <f ca="1">IFERROR(TRUNC(TabCalc[[#This Row],[L_S1p]],2)&amp;"x"&amp;TabCalc[[#This Row],[L_S1n]]&amp;"=   "&amp;TEXT(TabCalc[[#This Row],[ReverseB1]],"#,#0"),"")</f>
        <v>546.67x100=   -463</v>
      </c>
      <c r="J83" s="295">
        <f ca="1">_xlfn.XLOOKUP(TabTRADER[[#This Row],[ClickTick]],TabCalc[Ticker],ListGravity)</f>
        <v>1.1884739706149103</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0.61408189407985569</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-2.5782395871989314E-2</v>
      </c>
      <c r="S83" s="683">
        <f ca="1">_xlfn.XLOOKUP(TabTRADER[[#This Row],[ClickTick]],TabCalc[Ticker],TabCalc[Rev(MinStock)])*(1-Commission)</f>
        <v>-1455.2066000000032</v>
      </c>
      <c r="T83" s="782">
        <f ca="1">_xlfn.XLOOKUP(TabTRADER[[#This Row],[ClickTick]],TabCalc[Ticker],TabCalc[Agiotage])</f>
        <v>0.61408189407985569</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-490/-490=&gt;-0.4% / -0.4%</v>
      </c>
      <c r="V83" s="739" t="str">
        <f ca="1">_xlfn.XLOOKUP(TabTRADER[[#This Row],[ClickTick]],[1]!RTData[Ticker_Symbol],[1]!RTData[Currency])</f>
        <v>USD</v>
      </c>
      <c r="W83" s="749">
        <f ca="1">_xlfn.XLOOKUP(TabTRADER[[#This Row],[ClickTick]],TabCalc[Ticker],TabCalc[M])</f>
        <v>551.29999999999995</v>
      </c>
      <c r="X83" s="1343"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^48/110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1455.2066000000032</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110259.99999999999</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9.0770198615980364E-3</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2.3864719753310421E-2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-0.21094687531627621</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2.6464719753310419E-2</v>
      </c>
      <c r="AP83" s="825" cm="1">
        <f t="array" aca="1" ref="AP83" ca="1">_xlfn.IFS(         TabTRADER[[#This Row],[Traps]]=MDown,TabTRADER[[#This Row],[L_Bn]]*TabTRADER[[#This Row],[M]]*(-(TabTRADER[[#This Row],[L_Bp]]+TabTRADER[[#This Row],[M]])/TabTRADER[[#This Row],[M]])*(1-Commission)*TabTRADER[[#This Row],[Scale]],                               TRUE,"")</f>
        <v>1455.2066000000032</v>
      </c>
      <c r="AQ83" s="1186" cm="1">
        <f t="array" aca="1" ref="AQ83" ca="1">_xlfn.IFS(   TabTRADER[[#This Row],[Traps]]=MUp,TabTRADER[[#This Row],[TakeGain_A]]-Commission,        TabTRADER[[#This Row],[Traps]]=MDown,(TabTRADER[[#This Row],[A]]-TabTRADER[[#This Row],[M]])/TabTRADER[[#This Row],[M]]-Commission,                              TRUE,"")</f>
        <v>6.560166878287808E-3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1007.3740000000136</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-14.59</v>
      </c>
      <c r="AU83" s="765" cm="1">
        <f t="array" aca="1" ref="AU83" ca="1">_xlfn.IFS(TabTRADER[[#This Row],[Traps]]=ReSaleGain,"",         TabTRADER[[#This Row],[Traps]]=MDown, (TabTRADER[[#This Row],[M]]-TabTRADER[[#This Row],[A]])/TabTRADER[[#This Row],[A]]*ComFactor,             TRUE, IFERROR((TabTRADER[[#This Row],[M]]-TabTRADER[[#This Row],[A]])/TabTRADER[[#This Row],[A]]*ComFactor,""))</f>
        <v>-9.0534196099578811E-3</v>
      </c>
      <c r="AV83" s="762" cm="1">
        <f t="array" aca="1" ref="AV83" ca="1">_xlfn.IFS(               TabTRADER[[#This Row],[Traps]]=NoStock,(TabTRADER[[#This Row],[L_Sp]]-TabTRADER[[#This Row],[M]])/TabTRADER[[#This Row],[M]]-Commission,             TabTRADER[[#This Row],[A]]&lt;&gt;0,(TabTRADER[[#This Row],[A]]-TabTRADER[[#This Row],[M]])/TabTRADER[[#This Row],[M]]-Commission)</f>
        <v>6.560166878287808E-3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6.9818451778362683E-2</v>
      </c>
      <c r="AZ83" s="729">
        <f ca="1">TabTRADER[[#This Row],[L_Sn]]*(TabTRADER[[#This Row],[M]]-TabTRADER[[#This Row],[L_Sp]])*(1-Commission)*TabTRADER[[#This Row],[Scale]]</f>
        <v>-4127.2411999999995</v>
      </c>
      <c r="BA83" s="692">
        <f ca="1">TabTRADER[[#This Row],[L_Sn]]*(TabTRADER[[#This Row],[Agiotage]]-TabTRADER[[#This Row],[M]])/(TabTRADER[[#This Row],[L_Bn]]*TabTRADER[[#This Row],[M]])</f>
        <v>-0.99888612027193946</v>
      </c>
      <c r="BB83" s="635">
        <f ca="1">IFERROR((TabTRADER[[#This Row],[M]]-TabTRADER[[#This Row],[A]])/TabTRADER[[#This Row],[A]],0)</f>
        <v>-9.0770198615980364E-3</v>
      </c>
      <c r="BC83" s="638" t="str">
        <f ca="1">TEXT(_xlfn.XLOOKUP(TabTRADER[[#This Row],[ClickTick]],TabCalc[Ticker],TabCalc[NAfter]),"#,#0")&amp;" : "&amp;TEXT(_xlfn.XLOOKUP(TabTRADER[[#This Row],[ClickTick]],TabCalc[Ticker],TabCalc[NAfter])*(TabTRADER[[#This Row],[M]]-TabTRADER[[#This Row],[A]])*(1-Commission)*TabTRADER[[#This Row],[Scale]],"#,#0$")</f>
        <v>200 : -1,007$</v>
      </c>
      <c r="BD83" s="684">
        <f ca="1">_xlfn.XLOOKUP(TabTRADER[[#This Row],[ClickTick]],TabCalc[[#This Row],[Ticker]],TabCalc[[#This Row],[GL]])*(1-Commission)</f>
        <v>47485.973626599975</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2.6464719753310419E-2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-8.2602887715888027</v>
      </c>
      <c r="BO83" s="687">
        <f ca="1">(TabTRADER[[#This Row],[M]]-TabTRADER[[#This Row],[Agiotage]])/(TabTRADER[[#This Row],[M]]-TabTRADER[[#This Row],[A]])-1</f>
        <v>-110.04671645661637</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-10,529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-31.6%</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13,449$</v>
      </c>
      <c r="G84" s="225" t="str">
        <f ca="1">IFERROR(TRUNC(_xlfn.XLOOKUP(TabTRADER[[#This Row],[ClickTick]],TabCalc[Ticker],ListLastSalep),2)&amp;"x"&amp;_xlfn.XLOOKUP(TabTRADER[[#This Row],[ClickTick]],TabCalc[Ticker],ListLastSalen)&amp;"=   "&amp;TEXT(-_xlfn.XLOOKUP(TabTRADER[[#This Row],[ClickTick]],TabCalc[Ticker],ListReverseB),"#,#0")&amp;"$","")</f>
        <v>13.35x5000=   -29,740$</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80.3% = 841</v>
      </c>
      <c r="I84" s="226" t="str">
        <f ca="1">IFERROR(TRUNC(TabCalc[[#This Row],[L_S1p]],2)&amp;"x"&amp;TabCalc[[#This Row],[L_S1n]]&amp;"=   "&amp;TEXT(TabCalc[[#This Row],[ReverseB1]],"#,#0"),"")</f>
        <v>14.95x2700=   20,361</v>
      </c>
      <c r="J84" s="295">
        <f ca="1">_xlfn.XLOOKUP(TabTRADER[[#This Row],[ClickTick]],TabCalc[Ticker],ListGravity)</f>
        <v>1.7023215008773116</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28154.2</v>
      </c>
      <c r="M84" s="323">
        <f ca="1">_xlfn.XLOOKUP(TabTRADER[[#This Row],[ClickTick]],TabCalc[Ticker],TabCalc[Agiotage])</f>
        <v>0.9044910655758166</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-0.24000902675201047</v>
      </c>
      <c r="S84" s="683">
        <f ca="1">_xlfn.XLOOKUP(TabTRADER[[#This Row],[ClickTick]],TabCalc[Ticker],TabCalc[Rev(MinStock)])*(1-Commission)</f>
        <v>-10501.724339999997</v>
      </c>
      <c r="T84" s="782">
        <f ca="1">_xlfn.XLOOKUP(TabTRADER[[#This Row],[ClickTick]],TabCalc[Ticker],TabCalc[Agiotage])</f>
        <v>0.9044910655758166</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-332/-332=&gt;-2.4% / -2.4%</v>
      </c>
      <c r="V84" s="739" t="str">
        <f ca="1">_xlfn.XLOOKUP(TabTRADER[[#This Row],[ClickTick]],[1]!RTData[Ticker_Symbol],[1]!RTData[Currency])</f>
        <v>USD</v>
      </c>
      <c r="W84" s="749">
        <f ca="1">_xlfn.XLOOKUP(TabTRADER[[#This Row],[ClickTick]],TabCalc[Ticker],TabCalc[M])</f>
        <v>7.4089999999999998</v>
      </c>
      <c r="X84" s="1343"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-86/48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10501.724339999997</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48158.5</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0.1171580255694837</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0.31320510190309075</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-0.28328934305155334</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0.31580510190309075</v>
      </c>
      <c r="AP84" s="825" cm="1">
        <f t="array" aca="1" ref="AP84" ca="1">_xlfn.IFS(         TabTRADER[[#This Row],[Traps]]=MDown,TabTRADER[[#This Row],[L_Bn]]*TabTRADER[[#This Row],[M]]*(-(TabTRADER[[#This Row],[L_Bp]]+TabTRADER[[#This Row],[M]])/TabTRADER[[#This Row],[M]])*(1-Commission)*TabTRADER[[#This Row],[Scale]],                               TRUE,"")</f>
        <v>10501.724339999997</v>
      </c>
      <c r="AQ84" s="1186" cm="1">
        <f t="array" aca="1" ref="AQ84" ca="1">_xlfn.IFS(   TabTRADER[[#This Row],[Traps]]=MUp,TabTRADER[[#This Row],[TakeGain_A]]-Commission,        TabTRADER[[#This Row],[Traps]]=MDown,(TabTRADER[[#This Row],[A]]-TabTRADER[[#This Row],[M]])/TabTRADER[[#This Row],[M]]-Commission,                              TRUE,"")</f>
        <v>0.13010554523085216</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6374.2836599999919</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-2.33</v>
      </c>
      <c r="AU84" s="765" cm="1">
        <f t="array" aca="1" ref="AU84" ca="1">_xlfn.IFS(TabTRADER[[#This Row],[Traps]]=ReSaleGain,"",         TabTRADER[[#This Row],[Traps]]=MDown, (TabTRADER[[#This Row],[M]]-TabTRADER[[#This Row],[A]])/TabTRADER[[#This Row],[A]]*ComFactor,             TRUE, IFERROR((TabTRADER[[#This Row],[M]]-TabTRADER[[#This Row],[A]])/TabTRADER[[#This Row],[A]]*ComFactor,""))</f>
        <v>-0.11685341470300303</v>
      </c>
      <c r="AV84" s="762" cm="1">
        <f t="array" aca="1" ref="AV84" ca="1">_xlfn.IFS(               TabTRADER[[#This Row],[Traps]]=NoStock,(TabTRADER[[#This Row],[L_Sp]]-TabTRADER[[#This Row],[M]])/TabTRADER[[#This Row],[M]]-Commission,             TabTRADER[[#This Row],[A]]&lt;&gt;0,(TabTRADER[[#This Row],[A]]-TabTRADER[[#This Row],[M]])/TabTRADER[[#This Row],[M]]-Commission)</f>
        <v>0.13010554523085216</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0.44530957550348133</v>
      </c>
      <c r="AZ84" s="729">
        <f ca="1">TabTRADER[[#This Row],[L_Sn]]*(TabTRADER[[#This Row],[M]]-TabTRADER[[#This Row],[L_Sp]])*(1-Commission)*TabTRADER[[#This Row],[Scale]]</f>
        <v>-29662.675999999996</v>
      </c>
      <c r="BA84" s="692">
        <f ca="1">TabTRADER[[#This Row],[L_Sn]]*(TabTRADER[[#This Row],[Agiotage]]-TabTRADER[[#This Row],[M]])/(TabTRADER[[#This Row],[L_Bn]]*TabTRADER[[#This Row],[M]])</f>
        <v>-0.9754666148414366</v>
      </c>
      <c r="BB84" s="635">
        <f ca="1">IFERROR((TabTRADER[[#This Row],[M]]-TabTRADER[[#This Row],[A]])/TabTRADER[[#This Row],[A]],0)</f>
        <v>-0.1171580255694837</v>
      </c>
      <c r="BC84" s="638" t="str">
        <f ca="1">TEXT(_xlfn.XLOOKUP(TabTRADER[[#This Row],[ClickTick]],TabCalc[Ticker],TabCalc[NAfter]),"#,#0")&amp;" : "&amp;TEXT(_xlfn.XLOOKUP(TabTRADER[[#This Row],[ClickTick]],TabCalc[Ticker],TabCalc[NAfter])*(TabTRADER[[#This Row],[M]]-TabTRADER[[#This Row],[A]])*(1-Commission)*TabTRADER[[#This Row],[Scale]],"#,#0$")</f>
        <v>6,500 : -6,374$</v>
      </c>
      <c r="BD84" s="684">
        <f ca="1">_xlfn.XLOOKUP(TabTRADER[[#This Row],[ClickTick]],TabCalc[[#This Row],[Ticker]],TabCalc[[#This Row],[GL]])*(1-Commission)</f>
        <v>-85826.668959999995</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0.31580510190309075</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-2.3015954691039415E-3</v>
      </c>
      <c r="BO84" s="687">
        <f ca="1">(TabTRADER[[#This Row],[M]]-TabTRADER[[#This Row],[Agiotage]])/(TabTRADER[[#This Row],[M]]-TabTRADER[[#This Row],[A]])-1</f>
        <v>-7.615548369362255</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22.5%</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9,376$</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18.5% = 0</v>
      </c>
      <c r="I85" s="226" t="str">
        <f ca="1">IFERROR(TRUNC(TabCalc[[#This Row],[L_S1p]],2)&amp;"x"&amp;TabCalc[[#This Row],[L_S1n]]&amp;"=   "&amp;TEXT(TabCalc[[#This Row],[ReverseB1]],"#,#0"),"")</f>
        <v>99.4x1000=   -27,050</v>
      </c>
      <c r="J85" s="295">
        <f ca="1">_xlfn.XLOOKUP(TabTRADER[[#This Row],[ClickTick]],TabCalc[Ticker],ListGravity)</f>
        <v>1.0079398971925662</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0.69127556692117309</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0.28983230649965319</v>
      </c>
      <c r="S85" s="683">
        <f ca="1">_xlfn.XLOOKUP(TabTRADER[[#This Row],[ClickTick]],TabCalc[Ticker],TabCalc[Rev(MinStock)])*(1-Commission)</f>
        <v>0</v>
      </c>
      <c r="T85" s="782">
        <f ca="1">_xlfn.XLOOKUP(TabTRADER[[#This Row],[ClickTick]],TabCalc[Ticker],TabCalc[Agiotage])</f>
        <v>0.69127556692117309</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85" s="739" t="str">
        <f ca="1">_xlfn.XLOOKUP(TabTRADER[[#This Row],[ClickTick]],[1]!RTData[Ticker_Symbol],[1]!RTData[Currency])</f>
        <v>USD</v>
      </c>
      <c r="W85" s="749">
        <f ca="1">_xlfn.XLOOKUP(TabTRADER[[#This Row],[ClickTick]],TabCalc[Ticker],TabCalc[M])</f>
        <v>126.45</v>
      </c>
      <c r="X85" s="1343"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0.34209714865532836</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0x126.45</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-0.18796575721629108</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-0.22754476485406838</v>
      </c>
      <c r="AZ85" s="729">
        <f ca="1">TabTRADER[[#This Row],[L_Sn]]*(TabTRADER[[#This Row],[M]]-TabTRADER[[#This Row],[L_Sp]])*(1-Commission)*TabTRADER[[#This Row],[Scale]]</f>
        <v>9351.4229200000027</v>
      </c>
      <c r="BA85" s="692">
        <f ca="1">TabTRADER[[#This Row],[L_Sn]]*(TabTRADER[[#This Row],[Agiotage]]-TabTRADER[[#This Row],[M]])/(TabTRADER[[#This Row],[L_Bn]]*TabTRADER[[#This Row],[M]])</f>
        <v>-0.39781328409040356</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-5.4667897739911764E-3</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+504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5,262$</v>
      </c>
      <c r="G86" s="225" t="str">
        <f ca="1">IFERROR(TRUNC(_xlfn.XLOOKUP(TabTRADER[[#This Row],[ClickTick]],TabCalc[Ticker],ListLastSalep),2)&amp;"x"&amp;_xlfn.XLOOKUP(TabTRADER[[#This Row],[ClickTick]],TabCalc[Ticker],ListLastSalen)&amp;"=   "&amp;TEXT(-_xlfn.XLOOKUP(TabTRADER[[#This Row],[ClickTick]],TabCalc[Ticker],ListReverseB),"#,#0")&amp;"$","")</f>
        <v>12.03x2000=   4,270$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15.1% = 0</v>
      </c>
      <c r="I86" s="226" t="str">
        <f ca="1">IFERROR(TRUNC(TabCalc[[#This Row],[L_S1p]],2)&amp;"x"&amp;TabCalc[[#This Row],[L_S1n]]&amp;"=   "&amp;TEXT(TabCalc[[#This Row],[ReverseB1]],"#,#0"),"")</f>
        <v>11.84x2000=   -4,640</v>
      </c>
      <c r="J86" s="295">
        <f ca="1">_xlfn.XLOOKUP(TabTRADER[[#This Row],[ClickTick]],TabCalc[Ticker],ListGravity)</f>
        <v>1.0816957289092834</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1.0808883296742351</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3.0556566024008726E-2</v>
      </c>
      <c r="S86" s="683">
        <f ca="1">_xlfn.XLOOKUP(TabTRADER[[#This Row],[ClickTick]],TabCalc[Ticker],TabCalc[Rev(MinStock)])*(1-Commission)</f>
        <v>502.68959999999987</v>
      </c>
      <c r="T86" s="782">
        <f ca="1">_xlfn.XLOOKUP(TabTRADER[[#This Row],[ClickTick]],TabCalc[Ticker],TabCalc[Agiotage])</f>
        <v>1.0808883296742351</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258/258=&gt;1.6% / 1.6%</v>
      </c>
      <c r="V86" s="739" t="str">
        <f ca="1">_xlfn.XLOOKUP(TabTRADER[[#This Row],[ClickTick]],[1]!RTData[Ticker_Symbol],[1]!RTData[Currency])</f>
        <v>EUR</v>
      </c>
      <c r="W86" s="749">
        <f ca="1">_xlfn.XLOOKUP(TabTRADER[[#This Row],[ClickTick]],TabCalc[Ticker],TabCalc[M])</f>
        <v>14.164999999999999</v>
      </c>
      <c r="X86" s="1343"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502.68959999999987</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502.68959999999987</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3.0556566024008726E-2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0.2244972197682274</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518.05006795198244</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-3.2250547123190962E-2</v>
      </c>
      <c r="AW86" s="324">
        <f ca="1">_xlfn.XLOOKUP(TabTRADER[[#This Row],[ClickTick]],TabCalc[Ticker],TabCalc[L_Sn])</f>
        <v>2000</v>
      </c>
      <c r="AX86" s="728">
        <f ca="1">_xlfn.XLOOKUP(TabTRADER[[#This Row],[ClickTick]],TabCalc[Ticker],TabCalc[L_Sp])</f>
        <v>12.03</v>
      </c>
      <c r="AY86" s="764">
        <f ca="1">-IFERROR((TabTRADER[[#This Row],[M]]-TabTRADER[[#This Row],[L_Sp]])/TabTRADER[[#This Row],[L_Sp]],0)</f>
        <v>-0.17747298420615129</v>
      </c>
      <c r="AZ86" s="729">
        <f ca="1">TabTRADER[[#This Row],[L_Sn]]*(TabTRADER[[#This Row],[M]]-TabTRADER[[#This Row],[L_Sp]])*(1-Commission)*TabTRADER[[#This Row],[Scale]]</f>
        <v>4258.8980000000001</v>
      </c>
      <c r="BA86" s="692">
        <f ca="1">TabTRADER[[#This Row],[L_Sn]]*(TabTRADER[[#This Row],[Agiotage]]-TabTRADER[[#This Row],[M]])/(TabTRADER[[#This Row],[L_Bn]]*TabTRADER[[#This Row],[M]])</f>
        <v>-1.539488371611456</v>
      </c>
      <c r="BB86" s="635">
        <f ca="1">IFERROR((TabTRADER[[#This Row],[M]]-TabTRADER[[#This Row],[A]])/TabTRADER[[#This Row],[A]],0)</f>
        <v>3.0556566024008726E-2</v>
      </c>
      <c r="BC86" s="638" t="str">
        <f ca="1">TEXT(_xlfn.XLOOKUP(TabTRADER[[#This Row],[ClickTick]],TabCalc[Ticker],TabCalc[NAfter]),"#,#0")&amp;" : "&amp;TEXT(_xlfn.XLOOKUP(TabTRADER[[#This Row],[ClickTick]],TabCalc[Ticker],TabCalc[NAfter])*(TabTRADER[[#This Row],[M]]-TabTRADER[[#This Row],[A]])*(1-Commission)*TabTRADER[[#This Row],[Scale]],"#,#0$")</f>
        <v>1,200 : 503$</v>
      </c>
      <c r="BD86" s="684">
        <f ca="1">_xlfn.XLOOKUP(TabTRADER[[#This Row],[ClickTick]],TabCalc[[#This Row],[Ticker]],TabCalc[[#This Row],[GL]])*(1-Commission)</f>
        <v>6452.3800800000117</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41058</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12.830625</v>
      </c>
      <c r="BN86" s="687">
        <f ca="1">((_xlfn.XLOOKUP(TabTRADER[[#This Row],[ClickTick]],TabCalc[Ticker],TabCalc[NAfter])+TabTRADER[[#This Row],[L_Sn]])*(TabTRADER[[#This Row],[Agiotage]]-TabTRADER[[#This Row],[M]]))/(TabTRADER[[#This Row],[L_Sn]]*_xlfn.XLOOKUP(TabTRADER[[#This Row],[ClickTick]],TabCalc[Ticker],TabCalc[NAfter]))</f>
        <v>-1.744548222710102E-2</v>
      </c>
      <c r="BO86" s="687">
        <f ca="1">(TabTRADER[[#This Row],[M]]-TabTRADER[[#This Row],[Agiotage]])/(TabTRADER[[#This Row],[M]]-TabTRADER[[#This Row],[A]])-1</f>
        <v>30.152646834108968</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-6,051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-14.7%</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-6,211$</v>
      </c>
      <c r="G87" s="225" t="str">
        <f ca="1">IFERROR(TRUNC(_xlfn.XLOOKUP(TabTRADER[[#This Row],[ClickTick]],TabCalc[Ticker],ListLastSalep),2)&amp;"x"&amp;_xlfn.XLOOKUP(TabTRADER[[#This Row],[ClickTick]],TabCalc[Ticker],ListLastSalen)&amp;"=   "&amp;TEXT(-_xlfn.XLOOKUP(TabTRADER[[#This Row],[ClickTick]],TabCalc[Ticker],ListReverseB),"#,#0")&amp;"$","")</f>
        <v>51.86x1000=   -10,671$</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469</v>
      </c>
      <c r="I87" s="226" t="str">
        <f ca="1">IFERROR(TRUNC(TabCalc[[#This Row],[L_S1p]],2)&amp;"x"&amp;TabCalc[[#This Row],[L_S1n]]&amp;"=   "&amp;TEXT(TabCalc[[#This Row],[ReverseB1]],"#,#0"),"")</f>
        <v>62.9x2000=   43,422</v>
      </c>
      <c r="J87" s="295">
        <f ca="1">_xlfn.XLOOKUP(TabTRADER[[#This Row],[ClickTick]],TabCalc[Ticker],ListGravity)</f>
        <v>1.2117962674772331</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119448.97</v>
      </c>
      <c r="M87" s="323">
        <f ca="1">_xlfn.XLOOKUP(TabTRADER[[#This Row],[ClickTick]],TabCalc[Ticker],TabCalc[Agiotage])</f>
        <v>0.73549582470054142</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-0.12808425063505502</v>
      </c>
      <c r="S87" s="683">
        <f ca="1">_xlfn.XLOOKUP(TabTRADER[[#This Row],[ClickTick]],TabCalc[Ticker],TabCalc[Rev(MinStock)])*(1-Commission)</f>
        <v>-6034.9681799999989</v>
      </c>
      <c r="T87" s="782">
        <f ca="1">_xlfn.XLOOKUP(TabTRADER[[#This Row],[ClickTick]],TabCalc[Ticker],TabCalc[Agiotage])</f>
        <v>0.73549582470054142</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3,077/3,077=&gt;2.2% / 2.2%</v>
      </c>
      <c r="V87" s="739" t="str">
        <f ca="1">_xlfn.XLOOKUP(TabTRADER[[#This Row],[ClickTick]],[1]!RTData[Ticker_Symbol],[1]!RTData[Currency])</f>
        <v>USD</v>
      </c>
      <c r="W87" s="749">
        <f ca="1">_xlfn.XLOOKUP(TabTRADER[[#This Row],[ClickTick]],TabCalc[Ticker],TabCalc[M])</f>
        <v>41.189300000000003</v>
      </c>
      <c r="X87" s="1343"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6034.9681799999989</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164757.20000000001</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0.2419306526841383</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0.14429980164751524</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-0.19621417118561618</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0.14689980164751523</v>
      </c>
      <c r="AP87" s="825" cm="1">
        <f t="array" aca="1" ref="AP87" ca="1">_xlfn.IFS(         TabTRADER[[#This Row],[Traps]]=MDown,TabTRADER[[#This Row],[L_Bn]]*TabTRADER[[#This Row],[M]]*(-(TabTRADER[[#This Row],[L_Bp]]+TabTRADER[[#This Row],[M]])/TabTRADER[[#This Row],[M]])*(1-Commission)*TabTRADER[[#This Row],[Scale]],                               TRUE,"")</f>
        <v>6034.9681799999998</v>
      </c>
      <c r="AQ87" s="1186" cm="1">
        <f t="array" aca="1" ref="AQ87" ca="1">_xlfn.IFS(   TabTRADER[[#This Row],[Traps]]=MUp,TabTRADER[[#This Row],[TakeGain_A]]-Commission,        TabTRADER[[#This Row],[Traps]]=MDown,(TabTRADER[[#This Row],[A]]-TabTRADER[[#This Row],[M]])/TabTRADER[[#This Row],[M]]-Commission,                              TRUE,"")</f>
        <v>0.31654052921511155</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52443.990179999979</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-6.05</v>
      </c>
      <c r="AU87" s="765" cm="1">
        <f t="array" aca="1" ref="AU87" ca="1">_xlfn.IFS(TabTRADER[[#This Row],[Traps]]=ReSaleGain,"",         TabTRADER[[#This Row],[Traps]]=MDown, (TabTRADER[[#This Row],[M]]-TabTRADER[[#This Row],[A]])/TabTRADER[[#This Row],[A]]*ComFactor,             TRUE, IFERROR((TabTRADER[[#This Row],[M]]-TabTRADER[[#This Row],[A]])/TabTRADER[[#This Row],[A]]*ComFactor,""))</f>
        <v>-0.24130163298715954</v>
      </c>
      <c r="AV87" s="762" cm="1">
        <f t="array" aca="1" ref="AV87" ca="1">_xlfn.IFS(               TabTRADER[[#This Row],[Traps]]=NoStock,(TabTRADER[[#This Row],[L_Sp]]-TabTRADER[[#This Row],[M]])/TabTRADER[[#This Row],[M]]-Commission,             TabTRADER[[#This Row],[A]]&lt;&gt;0,(TabTRADER[[#This Row],[A]]-TabTRADER[[#This Row],[M]])/TabTRADER[[#This Row],[M]]-Commission)</f>
        <v>0.31654052921511155</v>
      </c>
      <c r="AW87" s="324">
        <f ca="1">_xlfn.XLOOKUP(TabTRADER[[#This Row],[ClickTick]],TabCalc[Ticker],TabCalc[L_Sn])</f>
        <v>1000</v>
      </c>
      <c r="AX87" s="728">
        <f ca="1">_xlfn.XLOOKUP(TabTRADER[[#This Row],[ClickTick]],TabCalc[Ticker],TabCalc[L_Sp])</f>
        <v>51.86</v>
      </c>
      <c r="AY87" s="764">
        <f ca="1">-IFERROR((TabTRADER[[#This Row],[M]]-TabTRADER[[#This Row],[L_Sp]])/TabTRADER[[#This Row],[L_Sp]],0)</f>
        <v>0.2057597377554955</v>
      </c>
      <c r="AZ87" s="729">
        <f ca="1">TabTRADER[[#This Row],[L_Sn]]*(TabTRADER[[#This Row],[M]]-TabTRADER[[#This Row],[L_Sp]])*(1-Commission)*TabTRADER[[#This Row],[Scale]]</f>
        <v>-10642.956179999997</v>
      </c>
      <c r="BA87" s="692">
        <f ca="1">TabTRADER[[#This Row],[L_Sn]]*(TabTRADER[[#This Row],[Agiotage]]-TabTRADER[[#This Row],[M]])/(TabTRADER[[#This Row],[L_Bn]]*TabTRADER[[#This Row],[M]])</f>
        <v>-0.98214352211131184</v>
      </c>
      <c r="BB87" s="635">
        <f ca="1">IFERROR((TabTRADER[[#This Row],[M]]-TabTRADER[[#This Row],[A]])/TabTRADER[[#This Row],[A]],0)</f>
        <v>-0.2419306526841383</v>
      </c>
      <c r="BC87" s="638" t="str">
        <f ca="1">TEXT(_xlfn.XLOOKUP(TabTRADER[[#This Row],[ClickTick]],TabCalc[Ticker],TabCalc[NAfter]),"#,#0")&amp;" : "&amp;TEXT(_xlfn.XLOOKUP(TabTRADER[[#This Row],[ClickTick]],TabCalc[Ticker],TabCalc[NAfter])*(TabTRADER[[#This Row],[M]]-TabTRADER[[#This Row],[A]])*(1-Commission)*TabTRADER[[#This Row],[Scale]],"#,#0$")</f>
        <v>4,000 : -52,444$</v>
      </c>
      <c r="BD87" s="684">
        <f ca="1">_xlfn.XLOOKUP(TabTRADER[[#This Row],[ClickTick]],TabCalc[[#This Row],[Ticker]],TabCalc[[#This Row],[GL]])*(1-Commission)</f>
        <v>-69380.765772399987</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0.14689980164751523</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-5.0567255219124321E-2</v>
      </c>
      <c r="BO87" s="687">
        <f ca="1">(TabTRADER[[#This Row],[M]]-TabTRADER[[#This Row],[Agiotage]])/(TabTRADER[[#This Row],[M]]-TabTRADER[[#This Row],[A]])-1</f>
        <v>-4.0774641018700386</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-904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6" t="str">
        <f ca="1">TRUNC(TabCalc[[#This Row],[L_B1p]],2)&amp;"x"&amp;TabCalc[[#This Row],[L_B1n]]&amp;"=   "&amp;TEXT(TabCalc[[#This Row],[ReverseS1]],"#,#0")&amp;"$"</f>
        <v>-27.92x2000=   -5,680$</v>
      </c>
      <c r="G88" s="225" t="str">
        <f ca="1">IFERROR(TRUNC(_xlfn.XLOOKUP(TabTRADER[[#This Row],[ClickTick]],TabCalc[Ticker],ListLastSalep),2)&amp;"x"&amp;_xlfn.XLOOKUP(TabTRADER[[#This Row],[ClickTick]],TabCalc[Ticker],ListLastSalen)&amp;"=   "&amp;TEXT(-_xlfn.XLOOKUP(TabTRADER[[#This Row],[ClickTick]],TabCalc[Ticker],ListReverseB),"#,#0")&amp;"$","")</f>
        <v>29.9x2010=   -11,110$</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22.7% = 905</v>
      </c>
      <c r="I88" s="226" t="str">
        <f ca="1">IFERROR(TRUNC(TabCalc[[#This Row],[L_S1p]],2)&amp;"x"&amp;TabCalc[[#This Row],[L_S1n]]&amp;"=   "&amp;TEXT(TabCalc[[#This Row],[ReverseB1]],"#,#0"),"")</f>
        <v>28.22x1990=   7,662</v>
      </c>
      <c r="J88" s="295">
        <f ca="1">_xlfn.XLOOKUP(TabTRADER[[#This Row],[ClickTick]],TabCalc[Ticker],ListGravity)</f>
        <v>1.1795651282051283</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7312.5</v>
      </c>
      <c r="M88" s="323">
        <f ca="1">_xlfn.XLOOKUP(TabTRADER[[#This Row],[ClickTick]],TabCalc[Ticker],TabCalc[Agiotage])</f>
        <v>1.5310946563079202</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-2.2654370489174069E-2</v>
      </c>
      <c r="S88" s="683">
        <f ca="1">_xlfn.XLOOKUP(TabTRADER[[#This Row],[ClickTick]],TabCalc[Ticker],TabCalc[Rev(MinStock)])*(1-Commission)</f>
        <v>-901.64960000000201</v>
      </c>
      <c r="T88" s="782">
        <f ca="1">_xlfn.XLOOKUP(TabTRADER[[#This Row],[ClickTick]],TabCalc[Ticker],TabCalc[Agiotage])</f>
        <v>1.5310946563079202</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56/56=&gt;-0.2% / -0.2%</v>
      </c>
      <c r="V88" s="739" t="str">
        <f ca="1">_xlfn.XLOOKUP(TabTRADER[[#This Row],[ClickTick]],[1]!RTData[Ticker_Symbol],[1]!RTData[Currency])</f>
        <v>USD</v>
      </c>
      <c r="W88" s="749">
        <f ca="1">_xlfn.XLOOKUP(TabTRADER[[#This Row],[ClickTick]],TabCalc[Ticker],TabCalc[M])</f>
        <v>24.375</v>
      </c>
      <c r="X88" s="1343"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77" t="str" cm="1">
        <f t="array" aca="1" ref="AF88" ca="1">_xlfn.IFS(       TabTRADER[[#This Row],[Traps]]=RePurchaseGain,TEXT(TabTRADER[[#This Row],[L_Sn]],"#,#0")&amp;" x "&amp;TEXT(TabTRADER[[#This Row],[L_Sp]],"#,#0.#0"),     TabTRADER[[#This Row],[Traps]]=ReSaleGain,TEXT(TabTRADER[[#This Row],[L_Bn]],"#0,#0")&amp;" x "&amp;TEXT(TabTRADER[[#This Row],[L_Bp]],"#,#0.#0"),               TRUE,"")</f>
        <v/>
      </c>
      <c r="AG88" s="1177"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77"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901.64960000000201</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39000</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2.2654370489174069E-2</v>
      </c>
      <c r="AK88" s="1186"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2.0579487179487231E-2</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-2.3235251783768274E-2</v>
      </c>
      <c r="AN88" s="1282">
        <f ca="1">_xlfn.XLOOKUP(TabTRADER[[#This Row],[ClickTick]],TabCalc[Ticker],TabCalc[Up20])</f>
        <v>0</v>
      </c>
      <c r="AO88" s="1187"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2.3179487179487233E-2</v>
      </c>
      <c r="AP88" s="825" cm="1">
        <f t="array" aca="1" ref="AP88" ca="1">_xlfn.IFS(         TabTRADER[[#This Row],[Traps]]=MDown,TabTRADER[[#This Row],[L_Bn]]*TabTRADER[[#This Row],[M]]*(-(TabTRADER[[#This Row],[L_Bp]]+TabTRADER[[#This Row],[M]])/TabTRADER[[#This Row],[M]])*(1-Commission)*TabTRADER[[#This Row],[Scale]],                               TRUE,"")</f>
        <v>901.64960000000201</v>
      </c>
      <c r="AQ88" s="1186" cm="1">
        <f t="array" aca="1" ref="AQ88" ca="1">_xlfn.IFS(   TabTRADER[[#This Row],[Traps]]=MUp,TabTRADER[[#This Row],[TakeGain_A]]-Commission,        TabTRADER[[#This Row],[Traps]]=MDown,(TabTRADER[[#This Row],[A]]-TabTRADER[[#This Row],[M]])/TabTRADER[[#This Row],[M]]-Commission,                              TRUE,"")</f>
        <v>2.0579487179487231E-2</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901.64960000000201</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8" s="736"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-0.56000000000000005</v>
      </c>
      <c r="AU88" s="765" cm="1">
        <f t="array" aca="1" ref="AU88" ca="1">_xlfn.IFS(TabTRADER[[#This Row],[Traps]]=ReSaleGain,"",         TabTRADER[[#This Row],[Traps]]=MDown, (TabTRADER[[#This Row],[M]]-TabTRADER[[#This Row],[A]])/TabTRADER[[#This Row],[A]]*ComFactor,             TRUE, IFERROR((TabTRADER[[#This Row],[M]]-TabTRADER[[#This Row],[A]])/TabTRADER[[#This Row],[A]]*ComFactor,""))</f>
        <v>-2.2595469125902216E-2</v>
      </c>
      <c r="AV88" s="762" cm="1">
        <f t="array" aca="1" ref="AV88" ca="1">_xlfn.IFS(               TabTRADER[[#This Row],[Traps]]=NoStock,(TabTRADER[[#This Row],[L_Sp]]-TabTRADER[[#This Row],[M]])/TabTRADER[[#This Row],[M]]-Commission,             TabTRADER[[#This Row],[A]]&lt;&gt;0,(TabTRADER[[#This Row],[A]]-TabTRADER[[#This Row],[M]])/TabTRADER[[#This Row],[M]]-Commission)</f>
        <v>2.0579487179487231E-2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0.18484258683307583</v>
      </c>
      <c r="AZ88" s="729">
        <f ca="1">TabTRADER[[#This Row],[L_Sn]]*(TabTRADER[[#This Row],[M]]-TabTRADER[[#This Row],[L_Sp]])*(1-Commission)*TabTRADER[[#This Row],[Scale]]</f>
        <v>-11080.7868528</v>
      </c>
      <c r="BA88" s="692">
        <f ca="1">TabTRADER[[#This Row],[L_Sn]]*(TabTRADER[[#This Row],[Agiotage]]-TabTRADER[[#This Row],[M]])/(TabTRADER[[#This Row],[L_Bn]]*TabTRADER[[#This Row],[M]])</f>
        <v>-1.1773397369441301</v>
      </c>
      <c r="BB88" s="635">
        <f ca="1">IFERROR((TabTRADER[[#This Row],[M]]-TabTRADER[[#This Row],[A]])/TabTRADER[[#This Row],[A]],0)</f>
        <v>-2.2654370489174069E-2</v>
      </c>
      <c r="BC88" s="638" t="str">
        <f ca="1">TEXT(_xlfn.XLOOKUP(TabTRADER[[#This Row],[ClickTick]],TabCalc[Ticker],TabCalc[NAfter]),"#,#0")&amp;" : "&amp;TEXT(_xlfn.XLOOKUP(TabTRADER[[#This Row],[ClickTick]],TabCalc[Ticker],TabCalc[NAfter])*(TabTRADER[[#This Row],[M]]-TabTRADER[[#This Row],[A]])*(1-Commission)*TabTRADER[[#This Row],[Scale]],"#,#0$")</f>
        <v>1,600 : -902$</v>
      </c>
      <c r="BD88" s="684">
        <f ca="1">_xlfn.XLOOKUP(TabTRADER[[#This Row],[ClickTick]],TabCalc[[#This Row],[Ticker]],TabCalc[[#This Row],[GL]])*(1-Commission)</f>
        <v>-8929.7999972000016</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AMY</v>
      </c>
      <c r="BI88" s="909"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2.3179487179487233E-2</v>
      </c>
      <c r="BJ88" s="679" t="e">
        <f ca="1">TabTRADER[[#This Row],[L_Sn]]*TabTRADER[[#This Row],[L_Sp]]+TabTRADER[[#This Row],[SellMore]]*TabTRADER[[#This Row],[M]]</f>
        <v>#N/A</v>
      </c>
      <c r="BK88" s="679" t="e">
        <f ca="1">INDEX(
  INDEX(TabConsolid[], , _xlfn.XMATCH(TabTRADER[[#This Row],[ClickTick]]&amp;1, TabConsolid[#Headers])),
  MATCH(
    -TabTRADER[[#This Row],[M]],
    INDEX(TabConsolid[], , _xlfn.XMATCH(TabTRADER[[#This Row],[ClickTick]]&amp;2, TabConsolid[#Headers])),
    -1
  )
)</f>
        <v>#N/A</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t="e">
        <f ca="1">TabTRADER[[#This Row],[ReBuy]]/(TabTRADER[[#This Row],[L_Sn]]+TabTRADER[[#This Row],[SellMore]])</f>
        <v>#N/A</v>
      </c>
      <c r="BN88" s="687">
        <f ca="1">((_xlfn.XLOOKUP(TabTRADER[[#This Row],[ClickTick]],TabCalc[Ticker],TabCalc[NAfter])+TabTRADER[[#This Row],[L_Sn]])*(TabTRADER[[#This Row],[Agiotage]]-TabTRADER[[#This Row],[M]]))/(TabTRADER[[#This Row],[L_Sn]]*_xlfn.XLOOKUP(TabTRADER[[#This Row],[ClickTick]],TabCalc[Ticker],TabCalc[NAfter]))</f>
        <v>-2.5642567876470273E-2</v>
      </c>
      <c r="BO88" s="687">
        <f ca="1">(TabTRADER[[#This Row],[M]]-TabTRADER[[#This Row],[Agiotage]])/(TabTRADER[[#This Row],[M]]-TabTRADER[[#This Row],[A]])-1</f>
        <v>-41.431690873791197</v>
      </c>
      <c r="BP88" s="1277">
        <f ca="1">_xlfn.XMATCH(TabTRADER[[#This Row],[ClickTick]]&amp;1, TabConsolid[#Headers])</f>
        <v>260</v>
      </c>
      <c r="BQ88" t="str">
        <f ca="1">IF(ABS(TabTRADER[[#This Row],[L_Bp]])&gt;=TabTRADER[[#This Row],[M]],"OK")</f>
        <v>OK</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+7,540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14.6%</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8,621/43,000=34,138</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23,000$</v>
      </c>
      <c r="G89" s="225" t="str">
        <f ca="1">IFERROR(TRUNC(_xlfn.XLOOKUP(TabTRADER[[#This Row],[ClickTick]],TabCalc[Ticker],ListLastSalep),2)&amp;"x"&amp;_xlfn.XLOOKUP(TabTRADER[[#This Row],[ClickTick]],TabCalc[Ticker],ListLastSalen)&amp;"=   "&amp;TEXT(-_xlfn.XLOOKUP(TabTRADER[[#This Row],[ClickTick]],TabCalc[Ticker],ListReverseB),"#,#0")&amp;"$","")</f>
        <v>3.95x5000=   25$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89" s="226" t="str">
        <f ca="1">IFERROR(TRUNC(TabCalc[[#This Row],[L_S1p]],2)&amp;"x"&amp;TabCalc[[#This Row],[L_S1n]]&amp;"=   "&amp;TEXT(TabCalc[[#This Row],[ReverseB1]],"#,#0"),"")</f>
        <v>5.83x3000=   5,620</v>
      </c>
      <c r="J89" s="295">
        <f ca="1">_xlfn.XLOOKUP(TabTRADER[[#This Row],[ClickTick]],TabCalc[Ticker],ListGravity)</f>
        <v>0.99844696969696978</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142560</v>
      </c>
      <c r="M89" s="323">
        <f ca="1">_xlfn.XLOOKUP(TabTRADER[[#This Row],[ClickTick]],TabCalc[Ticker],TabCalc[Agiotage])</f>
        <v>0.60737840672962018</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0.17159763313609469</v>
      </c>
      <c r="S89" s="683">
        <f ca="1">_xlfn.XLOOKUP(TabTRADER[[#This Row],[ClickTick]],TabCalc[Ticker],TabCalc[Rev(MinStock)])*(1-Commission)</f>
        <v>7520.3960000000006</v>
      </c>
      <c r="T89" s="782">
        <f ca="1">_xlfn.XLOOKUP(TabTRADER[[#This Row],[ClickTick]],TabCalc[Ticker],TabCalc[Agiotage])</f>
        <v>0.60737840672962018</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3,010/3,010=&gt;1.5% / 1.5%</v>
      </c>
      <c r="V89" s="739" t="str">
        <f ca="1">_xlfn.XLOOKUP(TabTRADER[[#This Row],[ClickTick]],[1]!RTData[Ticker_Symbol],[1]!RTData[Currency])</f>
        <v>USD</v>
      </c>
      <c r="W89" s="749">
        <f ca="1">_xlfn.XLOOKUP(TabTRADER[[#This Row],[ClickTick]],TabCalc[Ticker],TabCalc[M])</f>
        <v>3.96</v>
      </c>
      <c r="X89" s="1343"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3.5051041666666665</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^28/170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24.934999999999466</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19509.663479166673</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0.12978097417456691</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-1.3373737373737643E-3</v>
      </c>
      <c r="AL89" s="825" cm="1">
        <f t="array" aca="1" ref="AL89" ca="1">_xlfn.IFS(   TabTRADER[[#This Row],[Traps]]=SellMorePercentGain,                     MIN(TabTRADER[[#This Row],[L_Sn]],TabTRADER[[#This Row],[N]])*(TabTRADER[[#This Row],[M]]-TabTRADER[[#This Row],[L_Sp]])*(1-Commission)*TabTRADER[[#This Row],[Scale]],                    TRUE,"")</f>
        <v>24.934999999999466</v>
      </c>
      <c r="AM89" s="1341">
        <f ca="1">_xlfn.XLOOKUP(TabTRADER[[#This Row],[ClickTick]],TabCalc[Ticker],TabCalc[Ann%RevLB])</f>
        <v>1.3429379984563932</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0.12718097417456692</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22041.646611310895</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13,000x0.45</v>
      </c>
      <c r="AU89" s="765" cm="1">
        <f t="array" aca="1" ref="AU89" ca="1">_xlfn.IFS(TabTRADER[[#This Row],[Traps]]=ReSaleGain,"",         TabTRADER[[#This Row],[Traps]]=MDown, (TabTRADER[[#This Row],[M]]-TabTRADER[[#This Row],[A]])/TabTRADER[[#This Row],[A]]*ComFactor,             TRUE, IFERROR((TabTRADER[[#This Row],[M]]-TabTRADER[[#This Row],[A]])/TabTRADER[[#This Row],[A]]*ComFactor,""))</f>
        <v>0.12944354364171304</v>
      </c>
      <c r="AV89" s="762" cm="1">
        <f t="array" aca="1" ref="AV89" ca="1">_xlfn.IFS(               TabTRADER[[#This Row],[Traps]]=NoStock,(TabTRADER[[#This Row],[L_Sp]]-TabTRADER[[#This Row],[M]])/TabTRADER[[#This Row],[M]]-Commission,             TabTRADER[[#This Row],[A]]&lt;&gt;0,(TabTRADER[[#This Row],[A]]-TabTRADER[[#This Row],[M]])/TabTRADER[[#This Row],[M]]-Commission)</f>
        <v>-0.11747268518518524</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-1.2642225031605293E-3</v>
      </c>
      <c r="AZ89" s="729">
        <f ca="1">TabTRADER[[#This Row],[L_Sn]]*(TabTRADER[[#This Row],[M]]-TabTRADER[[#This Row],[L_Sp]])*(1-Commission)*TabTRADER[[#This Row],[Scale]]</f>
        <v>24.934999999999466</v>
      </c>
      <c r="BA89" s="692">
        <f ca="1">TabTRADER[[#This Row],[L_Sn]]*(TabTRADER[[#This Row],[Agiotage]]-TabTRADER[[#This Row],[M]])/(TabTRADER[[#This Row],[L_Bn]]*TabTRADER[[#This Row],[M]])</f>
        <v>-0.32562369787008349</v>
      </c>
      <c r="BB89" s="635">
        <f ca="1">IFERROR((TabTRADER[[#This Row],[M]]-TabTRADER[[#This Row],[A]])/TabTRADER[[#This Row],[A]],0)</f>
        <v>0.12978097417456691</v>
      </c>
      <c r="BC89" s="638" t="str">
        <f ca="1">TEXT(_xlfn.XLOOKUP(TabTRADER[[#This Row],[ClickTick]],TabCalc[Ticker],TabCalc[NAfter]),"#,#0")&amp;" : "&amp;TEXT(_xlfn.XLOOKUP(TabTRADER[[#This Row],[ClickTick]],TabCalc[Ticker],TabCalc[NAfter])*(TabTRADER[[#This Row],[M]]-TabTRADER[[#This Row],[A]])*(1-Commission)*TabTRADER[[#This Row],[Scale]],"#,#0$")</f>
        <v>43,000 : 19,510$</v>
      </c>
      <c r="BD89" s="684">
        <f ca="1">_xlfn.XLOOKUP(TabTRADER[[#This Row],[ClickTick]],TabCalc[[#This Row],[Ticker]],TabCalc[[#This Row],[GL]])*(1-Commission)</f>
        <v>28156.701740000004</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1.2626262626262356E-3</v>
      </c>
      <c r="BJ89" s="679">
        <f ca="1">TabTRADER[[#This Row],[L_Sn]]*TabTRADER[[#This Row],[L_Sp]]+TabTRADER[[#This Row],[SellMore]]*TabTRADER[[#This Row],[M]]</f>
        <v>31655</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3.9568750000000001</v>
      </c>
      <c r="BN89" s="687">
        <f ca="1">((_xlfn.XLOOKUP(TabTRADER[[#This Row],[ClickTick]],TabCalc[Ticker],TabCalc[NAfter])+TabTRADER[[#This Row],[L_Sn]])*(TabTRADER[[#This Row],[Agiotage]]-TabTRADER[[#This Row],[M]]))/(TabTRADER[[#This Row],[L_Sn]]*_xlfn.XLOOKUP(TabTRADER[[#This Row],[ClickTick]],TabCalc[Ticker],TabCalc[NAfter]))</f>
        <v>-7.4849226268361956E-4</v>
      </c>
      <c r="BO89" s="687">
        <f ca="1">(TabTRADER[[#This Row],[M]]-TabTRADER[[#This Row],[Agiotage]])/(TabTRADER[[#This Row],[M]]-TabTRADER[[#This Row],[A]])-1</f>
        <v>6.3700863969305317</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7,855$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90" s="226" t="str">
        <f ca="1">IFERROR(TRUNC(TabCalc[[#This Row],[L_S1p]],2)&amp;"x"&amp;TabCalc[[#This Row],[L_S1n]]&amp;"=   "&amp;TEXT(TabCalc[[#This Row],[ReverseB1]],"#,#0"),"")</f>
        <v>33.25x1300=   -5,434</v>
      </c>
      <c r="J90" s="295">
        <f ca="1">_xlfn.XLOOKUP(TabTRADER[[#This Row],[ClickTick]],TabCalc[Ticker],ListGravity)</f>
        <v>1.1064766230296552</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0.49833028033451637</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1.7420920870584007E-2</v>
      </c>
      <c r="S90" s="683">
        <f ca="1">_xlfn.XLOOKUP(TabTRADER[[#This Row],[ClickTick]],TabCalc[Ticker],TabCalc[Rev(MinStock)])*(1-Commission)</f>
        <v>0</v>
      </c>
      <c r="T90" s="782">
        <f ca="1">_xlfn.XLOOKUP(TabTRADER[[#This Row],[ClickTick]],TabCalc[Ticker],TabCalc[Agiotage])</f>
        <v>0.49833028033451637</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90" s="739" t="str">
        <f ca="1">_xlfn.XLOOKUP(TabTRADER[[#This Row],[ClickTick]],[1]!RTData[Ticker_Symbol],[1]!RTData[Currency])</f>
        <v>USD</v>
      </c>
      <c r="W90" s="749">
        <f ca="1">_xlfn.XLOOKUP(TabTRADER[[#This Row],[ClickTick]],TabCalc[Ticker],TabCalc[M])</f>
        <v>37.43</v>
      </c>
      <c r="X90" s="1343"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2.0101062542981548E-2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0x37.43</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-4.4571680470211004E-2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-4.3810479935302099E-2</v>
      </c>
      <c r="AZ90" s="729">
        <f ca="1">TabTRADER[[#This Row],[L_Sn]]*(TabTRADER[[#This Row],[M]]-TabTRADER[[#This Row],[L_Sp]])*(1-Commission)*TabTRADER[[#This Row],[Scale]]</f>
        <v>7834.5769999999893</v>
      </c>
      <c r="BA90" s="692">
        <f ca="1">TabTRADER[[#This Row],[L_Sn]]*(TabTRADER[[#This Row],[Agiotage]]-TabTRADER[[#This Row],[M]])/(TabTRADER[[#This Row],[L_Bn]]*TabTRADER[[#This Row],[M]])</f>
        <v>-2.1449703051298936</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-1.3313659640248887E-2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-6,852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-17.4%</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3,228$</v>
      </c>
      <c r="G91" s="225" t="str">
        <f ca="1">IFERROR(TRUNC(_xlfn.XLOOKUP(TabTRADER[[#This Row],[ClickTick]],TabCalc[Ticker],ListLastSalep),2)&amp;"x"&amp;_xlfn.XLOOKUP(TabTRADER[[#This Row],[ClickTick]],TabCalc[Ticker],ListLastSalen)&amp;"=   "&amp;TEXT(-_xlfn.XLOOKUP(TabTRADER[[#This Row],[ClickTick]],TabCalc[Ticker],ListReverseB),"#,#0")&amp;"$","")</f>
        <v>61.26x2000=   8,520$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6.5% = 0</v>
      </c>
      <c r="I91" s="226" t="str">
        <f ca="1">IFERROR(TRUNC(TabCalc[[#This Row],[L_S1p]],2)&amp;"x"&amp;TabCalc[[#This Row],[L_S1n]]&amp;"=   "&amp;TEXT(TabCalc[[#This Row],[ReverseB1]],"#,#0"),"")</f>
        <v>67.82x1500=   3,450</v>
      </c>
      <c r="J91" s="295">
        <f ca="1">_xlfn.XLOOKUP(TabTRADER[[#This Row],[ClickTick]],TabCalc[Ticker],ListGravity)</f>
        <v>1.3508128815628817</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9828</v>
      </c>
      <c r="M91" s="323">
        <f ca="1">_xlfn.XLOOKUP(TabTRADER[[#This Row],[ClickTick]],TabCalc[Ticker],TabCalc[Agiotage])</f>
        <v>3.4106299247859022</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-0.14842734598388357</v>
      </c>
      <c r="S91" s="683">
        <f ca="1">_xlfn.XLOOKUP(TabTRADER[[#This Row],[ClickTick]],TabCalc[Ticker],TabCalc[Rev(MinStock)])*(1-Commission)</f>
        <v>-6834.1848000000009</v>
      </c>
      <c r="T91" s="782">
        <f ca="1">_xlfn.XLOOKUP(TabTRADER[[#This Row],[ClickTick]],TabCalc[Ticker],TabCalc[Agiotage])</f>
        <v>3.4106299247859022</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2,850/2,850=&gt;-7.6% / -7.6%</v>
      </c>
      <c r="V91" s="739" t="str">
        <f ca="1">_xlfn.XLOOKUP(TabTRADER[[#This Row],[ClickTick]],[1]!RTData[Ticker_Symbol],[1]!RTData[Currency])</f>
        <v>USD</v>
      </c>
      <c r="W91" s="749">
        <f ca="1">_xlfn.XLOOKUP(TabTRADER[[#This Row],[ClickTick]],TabCalc[Ticker],TabCalc[M])</f>
        <v>65.52</v>
      </c>
      <c r="X91" s="1343"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-168/39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6834.1848000000009</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39312</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0.14842734598388357</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0.17169792429792435</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-1.090486623555063</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0.17429792429792434</v>
      </c>
      <c r="AP91" s="825" cm="1">
        <f t="array" aca="1" ref="AP91" ca="1">_xlfn.IFS(         TabTRADER[[#This Row],[Traps]]=MDown,TabTRADER[[#This Row],[L_Bn]]*TabTRADER[[#This Row],[M]]*(-(TabTRADER[[#This Row],[L_Bp]]+TabTRADER[[#This Row],[M]])/TabTRADER[[#This Row],[M]])*(1-Commission)*TabTRADER[[#This Row],[Scale]],                               TRUE,"")</f>
        <v>6834.1848000000018</v>
      </c>
      <c r="AQ91" s="1186" cm="1">
        <f t="array" aca="1" ref="AQ91" ca="1">_xlfn.IFS(   TabTRADER[[#This Row],[Traps]]=MUp,TabTRADER[[#This Row],[TakeGain_A]]-Commission,        TabTRADER[[#This Row],[Traps]]=MDown,(TabTRADER[[#This Row],[A]]-TabTRADER[[#This Row],[M]])/TabTRADER[[#This Row],[M]]-Commission,                              TRUE,"")</f>
        <v>0.17169792429792435</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6834.1848000000009</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-11.42</v>
      </c>
      <c r="AU91" s="765" cm="1">
        <f t="array" aca="1" ref="AU91" ca="1">_xlfn.IFS(TabTRADER[[#This Row],[Traps]]=ReSaleGain,"",         TabTRADER[[#This Row],[Traps]]=MDown, (TabTRADER[[#This Row],[M]]-TabTRADER[[#This Row],[A]])/TabTRADER[[#This Row],[A]]*ComFactor,             TRUE, IFERROR((TabTRADER[[#This Row],[M]]-TabTRADER[[#This Row],[A]])/TabTRADER[[#This Row],[A]]*ComFactor,""))</f>
        <v>-0.14804143488432547</v>
      </c>
      <c r="AV91" s="762" cm="1">
        <f t="array" aca="1" ref="AV91" ca="1">_xlfn.IFS(               TabTRADER[[#This Row],[Traps]]=NoStock,(TabTRADER[[#This Row],[L_Sp]]-TabTRADER[[#This Row],[M]])/TabTRADER[[#This Row],[M]]-Commission,             TabTRADER[[#This Row],[A]]&lt;&gt;0,(TabTRADER[[#This Row],[A]]-TabTRADER[[#This Row],[M]])/TabTRADER[[#This Row],[M]]-Commission)</f>
        <v>0.17169792429792435</v>
      </c>
      <c r="AW91" s="324">
        <f ca="1">_xlfn.XLOOKUP(TabTRADER[[#This Row],[ClickTick]],TabCalc[Ticker],TabCalc[L_Sn])</f>
        <v>2000</v>
      </c>
      <c r="AX91" s="728">
        <f ca="1">_xlfn.XLOOKUP(TabTRADER[[#This Row],[ClickTick]],TabCalc[Ticker],TabCalc[L_Sp])</f>
        <v>61.26</v>
      </c>
      <c r="AY91" s="764">
        <f ca="1">-IFERROR((TabTRADER[[#This Row],[M]]-TabTRADER[[#This Row],[L_Sp]])/TabTRADER[[#This Row],[L_Sp]],0)</f>
        <v>-6.9539666993143942E-2</v>
      </c>
      <c r="AZ91" s="729">
        <f ca="1">TabTRADER[[#This Row],[L_Sn]]*(TabTRADER[[#This Row],[M]]-TabTRADER[[#This Row],[L_Sp]])*(1-Commission)*TabTRADER[[#This Row],[Scale]]</f>
        <v>8497.8479999999963</v>
      </c>
      <c r="BA91" s="692">
        <f ca="1">TabTRADER[[#This Row],[L_Sn]]*(TabTRADER[[#This Row],[Agiotage]]-TabTRADER[[#This Row],[M]])/(TabTRADER[[#This Row],[L_Bn]]*TabTRADER[[#This Row],[M]])</f>
        <v>-3.1598173623938792</v>
      </c>
      <c r="BB91" s="635">
        <f ca="1">IFERROR((TabTRADER[[#This Row],[M]]-TabTRADER[[#This Row],[A]])/TabTRADER[[#This Row],[A]],0)</f>
        <v>-0.14842734598388357</v>
      </c>
      <c r="BC91" s="638" t="str">
        <f ca="1">TEXT(_xlfn.XLOOKUP(TabTRADER[[#This Row],[ClickTick]],TabCalc[Ticker],TabCalc[NAfter]),"#,#0")&amp;" : "&amp;TEXT(_xlfn.XLOOKUP(TabTRADER[[#This Row],[ClickTick]],TabCalc[Ticker],TabCalc[NAfter])*(TabTRADER[[#This Row],[M]]-TabTRADER[[#This Row],[A]])*(1-Commission)*TabTRADER[[#This Row],[Scale]],"#,#0$")</f>
        <v>600 : -6,834$</v>
      </c>
      <c r="BD91" s="684">
        <f ca="1">_xlfn.XLOOKUP(TabTRADER[[#This Row],[ClickTick]],TabCalc[[#This Row],[Ticker]],TabCalc[[#This Row],[GL]])*(1-Commission)</f>
        <v>-167897.22926000002</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0.17429792429792434</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-0.13457030182963053</v>
      </c>
      <c r="BO91" s="687">
        <f ca="1">(TabTRADER[[#This Row],[M]]-TabTRADER[[#This Row],[Agiotage]])/(TabTRADER[[#This Row],[M]]-TabTRADER[[#This Row],[A]])-1</f>
        <v>-6.4386488682324066</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+1,082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6" t="str">
        <f ca="1">TRUNC(TabCalc[[#This Row],[L_B1p]],2)&amp;"x"&amp;TabCalc[[#This Row],[L_B1n]]&amp;"=   "&amp;TEXT(TabCalc[[#This Row],[ReverseS1]],"#,#0")&amp;"$"</f>
        <v>-152.18x1000=   52,665$</v>
      </c>
      <c r="G92" s="225" t="str">
        <f ca="1">IFERROR(TRUNC(_xlfn.XLOOKUP(TabTRADER[[#This Row],[ClickTick]],TabCalc[Ticker],ListLastSalep),2)&amp;"x"&amp;_xlfn.XLOOKUP(TabTRADER[[#This Row],[ClickTick]],TabCalc[Ticker],ListLastSalen)&amp;"=   "&amp;TEXT(-_xlfn.XLOOKUP(TabTRADER[[#This Row],[ClickTick]],TabCalc[Ticker],ListReverseB),"#,#0")&amp;"$","")</f>
        <v>204.54x1000=   305$</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92" s="226" t="str">
        <f ca="1">IFERROR(TRUNC(TabCalc[[#This Row],[L_S1p]],2)&amp;"x"&amp;TabCalc[[#This Row],[L_S1n]]&amp;"=   "&amp;TEXT(TabCalc[[#This Row],[ReverseB1]],"#,#0"),"")</f>
        <v>194.28x250=   -2,641</v>
      </c>
      <c r="J92" s="295">
        <f ca="1">_xlfn.XLOOKUP(TabTRADER[[#This Row],[ClickTick]],TabCalc[Ticker],ListGravity)</f>
        <v>1.1209404671825038</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0.3401580045479054</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1.7913933611607979E-2</v>
      </c>
      <c r="S92" s="683">
        <f ca="1">_xlfn.XLOOKUP(TabTRADER[[#This Row],[ClickTick]],TabCalc[Ticker],TabCalc[Rev(MinStock)])*(1-Commission)</f>
        <v>1078.6880999999967</v>
      </c>
      <c r="T92" s="782">
        <f ca="1">_xlfn.XLOOKUP(TabTRADER[[#This Row],[ClickTick]],TabCalc[Ticker],TabCalc[Agiotage])</f>
        <v>0.3401580045479054</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503/503=&gt;0.3% / 0.3%</v>
      </c>
      <c r="V92" s="739" t="str">
        <f ca="1">_xlfn.XLOOKUP(TabTRADER[[#This Row],[ClickTick]],[1]!RTData[Ticker_Symbol],[1]!RTData[Currency])</f>
        <v>USD</v>
      </c>
      <c r="W92" s="749">
        <f ca="1">_xlfn.XLOOKUP(TabTRADER[[#This Row],[ClickTick]],TabCalc[Ticker],TabCalc[M])</f>
        <v>204.845</v>
      </c>
      <c r="X92" s="1343"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^300/307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177" t="str" cm="1">
        <f t="array" aca="1" ref="AF92" ca="1">_xlfn.IFS(       TabTRADER[[#This Row],[Traps]]=RePurchaseGain,TEXT(TabTRADER[[#This Row],[L_Sn]],"#,#0")&amp;" x "&amp;TEXT(TabTRADER[[#This Row],[L_Sp]],"#,#0.#0"),     TabTRADER[[#This Row],[Traps]]=ReSaleGain,TEXT(TabTRADER[[#This Row],[L_Bn]],"#0,#0")&amp;" x "&amp;TEXT(TabTRADER[[#This Row],[L_Bp]],"#,#0.#0"),               TRUE,"")</f>
        <v>300 x -201.24</v>
      </c>
      <c r="AG92" s="1177"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1078.6880999999967</v>
      </c>
      <c r="AH92" s="1177"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1078.6880999999967</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1.7913933611607979E-2</v>
      </c>
      <c r="AK92" s="1186"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2" s="825" t="str" cm="1">
        <f t="array" aca="1" ref="AL92" ca="1">_xlfn.IFS(   TabTRADER[[#This Row],[Traps]]=SellMorePercentGain,                     MIN(TabTRADER[[#This Row],[L_Sn]],TabTRADER[[#This Row],[N]])*(TabTRADER[[#This Row],[M]]-TabTRADER[[#This Row],[L_Sp]])*(1-Commission)*TabTRADER[[#This Row],[Scale]],                    TRUE,"")</f>
        <v/>
      </c>
      <c r="AM92" s="1341">
        <f ca="1">_xlfn.XLOOKUP(TabTRADER[[#This Row],[ClickTick]],TabCalc[Ticker],TabCalc[Ann%RevLB])</f>
        <v>0.21496720333929575</v>
      </c>
      <c r="AN92" s="1282">
        <f ca="1">_xlfn.XLOOKUP(TabTRADER[[#This Row],[ClickTick]],TabCalc[Ticker],TabCalc[Up20])</f>
        <v>0</v>
      </c>
      <c r="AO92" s="1187"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2" s="825" t="str" cm="1">
        <f t="array" aca="1" ref="AP92" ca="1">_xlfn.IFS(         TabTRADER[[#This Row],[Traps]]=MDown,TabTRADER[[#This Row],[L_Bn]]*TabTRADER[[#This Row],[M]]*(-(TabTRADER[[#This Row],[L_Bp]]+TabTRADER[[#This Row],[M]])/TabTRADER[[#This Row],[M]])*(1-Commission)*TabTRADER[[#This Row],[Scale]],                               TRUE,"")</f>
        <v/>
      </c>
      <c r="AQ92" s="1186" t="str" cm="1">
        <f t="array" aca="1" ref="AQ92" ca="1">_xlfn.IFS(   TabTRADER[[#This Row],[Traps]]=MUp,TabTRADER[[#This Row],[TakeGain_A]]-Commission,        TabTRADER[[#This Row],[Traps]]=MDown,(TabTRADER[[#This Row],[A]]-TabTRADER[[#This Row],[M]])/TabTRADER[[#This Row],[M]]-Commission,                              TRUE,"")</f>
        <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84720.762986066955</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92" s="736"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65" t="str" cm="1">
        <f t="array" aca="1" ref="AU92" ca="1">_xlfn.IFS(TabTRADER[[#This Row],[Traps]]=ReSaleGain,"",         TabTRADER[[#This Row],[Traps]]=MDown, (TabTRADER[[#This Row],[M]]-TabTRADER[[#This Row],[A]])/TabTRADER[[#This Row],[A]]*ComFactor,             TRUE, IFERROR((TabTRADER[[#This Row],[M]]-TabTRADER[[#This Row],[A]])/TabTRADER[[#This Row],[A]]*ComFactor,""))</f>
        <v/>
      </c>
      <c r="AV92" s="762" cm="1">
        <f t="array" aca="1" ref="AV92" ca="1">_xlfn.IFS(               TabTRADER[[#This Row],[Traps]]=NoStock,(TabTRADER[[#This Row],[L_Sp]]-TabTRADER[[#This Row],[M]])/TabTRADER[[#This Row],[M]]-Commission,             TabTRADER[[#This Row],[A]]&lt;&gt;0,(TabTRADER[[#This Row],[A]]-TabTRADER[[#This Row],[M]])/TabTRADER[[#This Row],[M]]-Commission)</f>
        <v>-0.21917225381792735</v>
      </c>
      <c r="AW92" s="324">
        <f ca="1">_xlfn.XLOOKUP(TabTRADER[[#This Row],[ClickTick]],TabCalc[Ticker],TabCalc[L_Sn])</f>
        <v>1000</v>
      </c>
      <c r="AX92" s="728">
        <f ca="1">_xlfn.XLOOKUP(TabTRADER[[#This Row],[ClickTick]],TabCalc[Ticker],TabCalc[L_Sp])</f>
        <v>204.54</v>
      </c>
      <c r="AY92" s="764">
        <f ca="1">-IFERROR((TabTRADER[[#This Row],[M]]-TabTRADER[[#This Row],[L_Sp]])/TabTRADER[[#This Row],[L_Sp]],0)</f>
        <v>-1.4911508751344815E-3</v>
      </c>
      <c r="AZ92" s="729">
        <f ca="1">TabTRADER[[#This Row],[L_Sn]]*(TabTRADER[[#This Row],[M]]-TabTRADER[[#This Row],[L_Sp]])*(1-Commission)*TabTRADER[[#This Row],[Scale]]</f>
        <v>304.20700000000681</v>
      </c>
      <c r="BA92" s="692">
        <f ca="1">TabTRADER[[#This Row],[L_Sn]]*(TabTRADER[[#This Row],[Agiotage]]-TabTRADER[[#This Row],[M]])/(TabTRADER[[#This Row],[L_Bn]]*TabTRADER[[#This Row],[M]])</f>
        <v>-3.3277981237106444</v>
      </c>
      <c r="BB92" s="635">
        <f ca="1">IFERROR((TabTRADER[[#This Row],[M]]-TabTRADER[[#This Row],[A]])/TabTRADER[[#This Row],[A]],0)</f>
        <v>0.27644189891583809</v>
      </c>
      <c r="BC92" s="638" t="str">
        <f ca="1">TEXT(_xlfn.XLOOKUP(TabTRADER[[#This Row],[ClickTick]],TabCalc[Ticker],TabCalc[NAfter]),"#,#0")&amp;" : "&amp;TEXT(_xlfn.XLOOKUP(TabTRADER[[#This Row],[ClickTick]],TabCalc[Ticker],TabCalc[NAfter])*(TabTRADER[[#This Row],[M]]-TabTRADER[[#This Row],[A]])*(1-Commission)*TabTRADER[[#This Row],[Scale]],"#,#0$")</f>
        <v>1,500 : 66,373$</v>
      </c>
      <c r="BD92" s="684">
        <f ca="1">_xlfn.XLOOKUP(TabTRADER[[#This Row],[ClickTick]],TabCalc[[#This Row],[Ticker]],TabCalc[[#This Row],[GL]])*(1-Commission)</f>
        <v>299652.2212952</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2" s="679">
        <f ca="1">TabTRADER[[#This Row],[L_Sn]]*TabTRADER[[#This Row],[L_Sp]]+TabTRADER[[#This Row],[SellMore]]*TabTRADER[[#This Row],[M]]</f>
        <v>265993.5</v>
      </c>
      <c r="BK92" s="679">
        <f ca="1">INDEX(
  INDEX(TabConsolid[], , _xlfn.XMATCH(TabTRADER[[#This Row],[ClickTick]]&amp;1, TabConsolid[#Headers])),
  MATCH(
    -TabTRADER[[#This Row],[M]],
    INDEX(TabConsolid[], , _xlfn.XMATCH(TabTRADER[[#This Row],[ClickTick]]&amp;2, TabConsolid[#Headers])),
    -1
  )
)</f>
        <v>300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204.61038461538462</v>
      </c>
      <c r="BN92" s="687">
        <f ca="1">((_xlfn.XLOOKUP(TabTRADER[[#This Row],[ClickTick]],TabCalc[Ticker],TabCalc[NAfter])+TabTRADER[[#This Row],[L_Sn]])*(TabTRADER[[#This Row],[Agiotage]]-TabTRADER[[#This Row],[M]]))/(TabTRADER[[#This Row],[L_Sn]]*_xlfn.XLOOKUP(TabTRADER[[#This Row],[ClickTick]],TabCalc[Ticker],TabCalc[NAfter]))</f>
        <v>-0.34084140332575347</v>
      </c>
      <c r="BO92" s="687">
        <f ca="1">(TabTRADER[[#This Row],[M]]-TabTRADER[[#This Row],[Agiotage]])/(TabTRADER[[#This Row],[M]]-TabTRADER[[#This Row],[A]])-1</f>
        <v>3.6097291758920278</v>
      </c>
      <c r="BP92" s="1277">
        <f ca="1">_xlfn.XMATCH(TabTRADER[[#This Row],[ClickTick]]&amp;1, TabConsolid[#Headers])</f>
        <v>272</v>
      </c>
      <c r="BQ92" t="b">
        <f ca="1">IF(ABS(TabTRADER[[#This Row],[L_Bp]])&gt;=TabTRADER[[#This Row],[M]],"OK")</f>
        <v>0</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43"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0.9017271786728438</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+372,701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47.5%</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1,034/77,100=10,523</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0.90524344569288384</v>
      </c>
      <c r="S94" s="683">
        <f ca="1">_xlfn.XLOOKUP(TabTRADER[[#This Row],[ClickTick]],TabCalc[Ticker],TabCalc[Rev(MinStock)])*(1-Commission)</f>
        <v>371732.37635999994</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-4,009/-4,009=&gt;-0.3% / -0.3%</v>
      </c>
      <c r="V94" s="739" t="str">
        <f ca="1">_xlfn.XLOOKUP(TabTRADER[[#This Row],[ClickTick]],[1]!RTData[Ticker_Symbol],[1]!RTData[Currency])</f>
        <v>USD</v>
      </c>
      <c r="W94" s="749">
        <f ca="1">_xlfn.XLOOKUP(TabTRADER[[#This Row],[ClickTick]],TabCalc[Ticker],TabCalc[M])</f>
        <v>10.173999999999999</v>
      </c>
      <c r="X94" s="1343"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^373/784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371732.37635999994</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371732.37635999994</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0.90524344569288384</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1">
        <f ca="1">_xlfn.XLOOKUP(TabTRADER[[#This Row],[ClickTick]],TabCalc[Ticker],TabCalc[Ann%RevLB])</f>
        <v>0.25823109385850884</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708240.67361173022</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-0.47773269117357969</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0.90524344569288384</v>
      </c>
      <c r="BC94" s="638" t="str">
        <f ca="1">TEXT(_xlfn.XLOOKUP(TabTRADER[[#This Row],[ClickTick]],TabCalc[Ticker],TabCalc[NAfter]),"#,#0")&amp;" : "&amp;TEXT(_xlfn.XLOOKUP(TabTRADER[[#This Row],[ClickTick]],TabCalc[Ticker],TabCalc[NAfter])*(TabTRADER[[#This Row],[M]]-TabTRADER[[#This Row],[A]])*(1-Commission)*TabTRADER[[#This Row],[Scale]],"#,#0$")</f>
        <v>77,100 : 371,732$</v>
      </c>
      <c r="BD94" s="684">
        <f ca="1">_xlfn.XLOOKUP(TabTRADER[[#This Row],[ClickTick]],TabCalc[[#This Row],[Ticker]],TabCalc[[#This Row],[GL]])*(1-Commission)</f>
        <v>371732.37635999988</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784415.39999999991</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10.173999999999999</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0.89780719900703354</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+29,412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16.9%</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34/200=29,607</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12,780$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95" s="226" t="str">
        <f ca="1">IFERROR(TRUNC(TabCalc[[#This Row],[L_S1p]],2)&amp;"x"&amp;TabCalc[[#This Row],[L_S1n]]&amp;"=   "&amp;TEXT(TabCalc[[#This Row],[ReverseB1]],"#,#0"),"")</f>
        <v>0x0=   0</v>
      </c>
      <c r="J95" s="295">
        <f ca="1">_xlfn.XLOOKUP(TabTRADER[[#This Row],[ClickTick]],TabCalc[Ticker],ListGravity)</f>
        <v>1.08165280202113</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1.4227731762002704</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0.20319451736811556</v>
      </c>
      <c r="S95" s="683">
        <f ca="1">_xlfn.XLOOKUP(TabTRADER[[#This Row],[ClickTick]],TabCalc[Ticker],TabCalc[Rev(MinStock)])*(1-Commission)</f>
        <v>29335.528799999989</v>
      </c>
      <c r="T95" s="782">
        <f ca="1">_xlfn.XLOOKUP(TabTRADER[[#This Row],[ClickTick]],TabCalc[Ticker],TabCalc[Agiotage])</f>
        <v>1.4227731762002704</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-5,640/-5,640=&gt;-2.7% / -2.7%</v>
      </c>
      <c r="V95" s="739" t="str">
        <f ca="1">_xlfn.XLOOKUP(TabTRADER[[#This Row],[ClickTick]],[1]!RTData[Ticker_Symbol],[1]!RTData[Currency])</f>
        <v>EUR</v>
      </c>
      <c r="W95" s="749">
        <f ca="1">_xlfn.XLOOKUP(TabTRADER[[#This Row],[ClickTick]],TabCalc[Ticker],TabCalc[M])</f>
        <v>870.8</v>
      </c>
      <c r="X95" s="1343"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^61/174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8497.8479999999818</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29335.528799999989</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0.20319451736811556</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4.6320532843362322E-2</v>
      </c>
      <c r="AL95" s="825" cm="1">
        <f t="array" aca="1" ref="AL95" ca="1">_xlfn.IFS(   TabTRADER[[#This Row],[Traps]]=SellMorePercentGain,                     MIN(TabTRADER[[#This Row],[L_Sn]],TabTRADER[[#This Row],[N]])*(TabTRADER[[#This Row],[M]]-TabTRADER[[#This Row],[L_Sp]])*(1-Commission)*TabTRADER[[#This Row],[Scale]],                    TRUE,"")</f>
        <v>8497.8479999999818</v>
      </c>
      <c r="AM95" s="1175">
        <f ca="1">_xlfn.XLOOKUP(TabTRADER[[#This Row],[ClickTick]],TabCalc[Ticker],TabCalc[Ann%RevLB])</f>
        <v>0.24629638468862494</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0.20059451736811557</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35296.347416254444</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200x147.06</v>
      </c>
      <c r="AU95" s="765" cm="1">
        <f t="array" aca="1" ref="AU95" ca="1">_xlfn.IFS(TabTRADER[[#This Row],[Traps]]=ReSaleGain,"",         TabTRADER[[#This Row],[Traps]]=MDown, (TabTRADER[[#This Row],[M]]-TabTRADER[[#This Row],[A]])/TabTRADER[[#This Row],[A]]*ComFactor,             TRUE, IFERROR((TabTRADER[[#This Row],[M]]-TabTRADER[[#This Row],[A]])/TabTRADER[[#This Row],[A]]*ComFactor,""))</f>
        <v>0.20266621162295845</v>
      </c>
      <c r="AV95" s="763" cm="1">
        <f t="array" aca="1" ref="AV95" ca="1">_xlfn.IFS(               TabTRADER[[#This Row],[Traps]]=NoStock,(TabTRADER[[#This Row],[L_Sp]]-TabTRADER[[#This Row],[M]])/TabTRADER[[#This Row],[M]]-Commission,             TabTRADER[[#This Row],[A]]&lt;&gt;0,(TabTRADER[[#This Row],[A]]-TabTRADER[[#This Row],[M]])/TabTRADER[[#This Row],[M]]-Commission)</f>
        <v>-0.17147919154800179</v>
      </c>
      <c r="AW95" s="324">
        <f ca="1">_xlfn.XLOOKUP(TabTRADER[[#This Row],[ClickTick]],TabCalc[Ticker],TabCalc[L_Sn])</f>
        <v>300</v>
      </c>
      <c r="AX95" s="728">
        <f ca="1">_xlfn.XLOOKUP(TabTRADER[[#This Row],[ClickTick]],TabCalc[Ticker],TabCalc[L_Sp])</f>
        <v>828.2</v>
      </c>
      <c r="AY95" s="764">
        <f ca="1">-IFERROR((TabTRADER[[#This Row],[M]]-TabTRADER[[#This Row],[L_Sp]])/TabTRADER[[#This Row],[L_Sp]],0)</f>
        <v>-5.1436851002173274E-2</v>
      </c>
      <c r="AZ95" s="729">
        <f ca="1">TabTRADER[[#This Row],[L_Sn]]*(TabTRADER[[#This Row],[M]]-TabTRADER[[#This Row],[L_Sp]])*(1-Commission)*TabTRADER[[#This Row],[Scale]]</f>
        <v>12746.771999999972</v>
      </c>
      <c r="BA95" s="692">
        <f ca="1">TabTRADER[[#This Row],[L_Sn]]*(TabTRADER[[#This Row],[Agiotage]]-TabTRADER[[#This Row],[M]])/(TabTRADER[[#This Row],[L_Bn]]*TabTRADER[[#This Row],[M]])</f>
        <v>-0.59901967856485971</v>
      </c>
      <c r="BB95" s="635">
        <f ca="1">IFERROR((TabTRADER[[#This Row],[M]]-TabTRADER[[#This Row],[A]])/TabTRADER[[#This Row],[A]],0)</f>
        <v>0.20319451736811556</v>
      </c>
      <c r="BC95" s="638" t="str">
        <f ca="1">TEXT(_xlfn.XLOOKUP(TabTRADER[[#This Row],[ClickTick]],TabCalc[Ticker],TabCalc[NAfter]),"#,#0")&amp;" : "&amp;TEXT(_xlfn.XLOOKUP(TabTRADER[[#This Row],[ClickTick]],TabCalc[Ticker],TabCalc[NAfter])*(TabTRADER[[#This Row],[M]]-TabTRADER[[#This Row],[A]])*(1-Commission)*TabTRADER[[#This Row],[Scale]],"#,#0$")</f>
        <v>200 : 29,336$</v>
      </c>
      <c r="BD95" s="684">
        <f ca="1">_xlfn.XLOOKUP(TabTRADER[[#This Row],[ClickTick]],TabCalc[[#This Row],[Ticker]],TabCalc[[#This Row],[GL]])*(1-Commission)</f>
        <v>60592.049999999996</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4.892053284336232E-2</v>
      </c>
      <c r="BJ95" s="679">
        <f ca="1">TabTRADER[[#This Row],[L_Sn]]*TabTRADER[[#This Row],[L_Sp]]+TabTRADER[[#This Row],[SellMore]]*TabTRADER[[#This Row],[M]]</f>
        <v>422620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845.24</v>
      </c>
      <c r="BN95" s="687">
        <f ca="1">((_xlfn.XLOOKUP(TabTRADER[[#This Row],[ClickTick]],TabCalc[Ticker],TabCalc[NAfter])+TabTRADER[[#This Row],[L_Sn]])*(TabTRADER[[#This Row],[Agiotage]]-TabTRADER[[#This Row],[M]]))/(TabTRADER[[#This Row],[L_Sn]]*_xlfn.XLOOKUP(TabTRADER[[#This Row],[ClickTick]],TabCalc[Ticker],TabCalc[NAfter]))</f>
        <v>-7.2448102235316636</v>
      </c>
      <c r="BO95" s="687">
        <f ca="1">(TabTRADER[[#This Row],[M]]-TabTRADER[[#This Row],[Agiotage]])/(TabTRADER[[#This Row],[M]]-TabTRADER[[#This Row],[A]])-1</f>
        <v>4.9117178486590509</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+6,425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3,891/18,000=62,665</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333,333</v>
      </c>
      <c r="F96" s="1122"/>
      <c r="G96" s="225"/>
      <c r="H96" s="493"/>
      <c r="I96" s="1123"/>
      <c r="J96" s="295">
        <f ca="1">_xlfn.XLOOKUP(TabTRADER[[#This Row],[ClickTick]],TabCalc[Ticker],ListGravity)</f>
        <v>1.0505799441167338</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1.3773604663339033E-3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5000</v>
      </c>
      <c r="Q96" s="1125">
        <f ca="1">_xlfn.XLOOKUP(TabTRADER[[#This Row],[ClickTick]],TabCalc[Ticker],TabCalc[L_Bp])</f>
        <v>-14.82</v>
      </c>
      <c r="R96" s="1126">
        <f ca="1">(TabTRADER[[#This Row],[M]]+TabTRADER[[#This Row],[L_Bp]])/ABS(TabTRADER[[#This Row],[L_Bp]])</f>
        <v>8.6707152496626194E-2</v>
      </c>
      <c r="S96" s="683">
        <f ca="1">_xlfn.XLOOKUP(TabTRADER[[#This Row],[ClickTick]],TabCalc[Ticker],TabCalc[Rev(MinStock)])*(1-Commission)</f>
        <v>6408.295000000001</v>
      </c>
      <c r="T96" s="1127">
        <f ca="1">_xlfn.XLOOKUP(TabTRADER[[#This Row],[ClickTick]],TabCalc[Ticker],TabCalc[Agiotage])</f>
        <v>1.3773604663339033E-3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96" s="1129" t="str">
        <f ca="1">_xlfn.XLOOKUP(TabTRADER[[#This Row],[ClickTick]],[1]!RTData[Ticker_Symbol],[1]!RTData[Currency])</f>
        <v>EUR</v>
      </c>
      <c r="W96" s="749">
        <f ca="1">_xlfn.XLOOKUP(TabTRADER[[#This Row],[ClickTick]],TabCalc[Ticker],TabCalc[M])</f>
        <v>16.105</v>
      </c>
      <c r="X96" s="1344"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18000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^319/290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7" t="str" cm="1">
        <f t="array" aca="1" ref="AF96" ca="1">_xlfn.IFS(       TabTRADER[[#This Row],[Traps]]=RePurchaseGain,TEXT(TabTRADER[[#This Row],[L_Sn]],"#,#0")&amp;" x "&amp;TEXT(TabTRADER[[#This Row],[L_Sp]],"#,#0.#0"),     TabTRADER[[#This Row],[Traps]]=ReSaleGain,TEXT(TabTRADER[[#This Row],[L_Bn]],"#0,#0")&amp;" x "&amp;TEXT(TabTRADER[[#This Row],[L_Bp]],"#,#0.#0"),               TRUE,"")</f>
        <v>3,000 x 16.12</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44.883000000001701</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44.883000000001701</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9.3052109181144963E-4</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0.47294810452705194</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31739.722601400026</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3" cm="1">
        <f t="array" aca="1" ref="AU96" ca="1">_xlfn.IFS(TabTRADER[[#This Row],[Traps]]=ReSaleGain,"",         TabTRADER[[#This Row],[Traps]]=MDown, (TabTRADER[[#This Row],[M]]-TabTRADER[[#This Row],[A]])/TabTRADER[[#This Row],[A]]*ComFactor,             TRUE, IFERROR((TabTRADER[[#This Row],[M]]-TabTRADER[[#This Row],[A]])/TabTRADER[[#This Row],[A]]*ComFactor,""))</f>
        <v>0.12298998442186884</v>
      </c>
      <c r="AV96" s="762" cm="1">
        <f t="array" aca="1" ref="AV96" ca="1">_xlfn.IFS(               TabTRADER[[#This Row],[Traps]]=NoStock,(TabTRADER[[#This Row],[L_Sp]]-TabTRADER[[#This Row],[M]])/TabTRADER[[#This Row],[M]]-Commission,             TabTRADER[[#This Row],[A]]&lt;&gt;0,(TabTRADER[[#This Row],[A]]-TabTRADER[[#This Row],[M]])/TabTRADER[[#This Row],[M]]-Commission)</f>
        <v>-0.11237426265135061</v>
      </c>
      <c r="AW96" s="1134">
        <f ca="1">_xlfn.XLOOKUP(TabTRADER[[#This Row],[ClickTick]],TabCalc[Ticker],TabCalc[L_Sn])</f>
        <v>3000</v>
      </c>
      <c r="AX96" s="728">
        <f ca="1">_xlfn.XLOOKUP(TabTRADER[[#This Row],[ClickTick]],TabCalc[Ticker],TabCalc[L_Sp])</f>
        <v>16.12</v>
      </c>
      <c r="AY96" s="1126">
        <f ca="1">-IFERROR((TabTRADER[[#This Row],[M]]-TabTRADER[[#This Row],[L_Sp]])/TabTRADER[[#This Row],[L_Sp]],0)</f>
        <v>9.3052109181144963E-4</v>
      </c>
      <c r="AZ96" s="1135">
        <f ca="1">TabTRADER[[#This Row],[L_Sn]]*(TabTRADER[[#This Row],[M]]-TabTRADER[[#This Row],[L_Sp]])*(1-Commission)*TabTRADER[[#This Row],[Scale]]</f>
        <v>-44.883000000001701</v>
      </c>
      <c r="BA96" s="692">
        <f ca="1">TabTRADER[[#This Row],[L_Sn]]*(TabTRADER[[#This Row],[Agiotage]]-TabTRADER[[#This Row],[M]])/(TabTRADER[[#This Row],[L_Bn]]*TabTRADER[[#This Row],[M]])</f>
        <v>-0.59994868573239368</v>
      </c>
      <c r="BB96" s="1136">
        <f ca="1">IFERROR((TabTRADER[[#This Row],[M]]-TabTRADER[[#This Row],[A]])/TabTRADER[[#This Row],[A]],0)</f>
        <v>0.12331059196096736</v>
      </c>
      <c r="BC96" s="638" t="str">
        <f ca="1">TEXT(_xlfn.XLOOKUP(TabTRADER[[#This Row],[ClickTick]],TabCalc[Ticker],TabCalc[NAfter]),"#,#0")&amp;" : "&amp;TEXT(_xlfn.XLOOKUP(TabTRADER[[#This Row],[ClickTick]],TabCalc[Ticker],TabCalc[NAfter])*(TabTRADER[[#This Row],[M]]-TabTRADER[[#This Row],[A]])*(1-Commission)*TabTRADER[[#This Row],[Scale]],"#,#0$")</f>
        <v>18,000 : 31,740$</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96675</v>
      </c>
      <c r="BK96" s="679">
        <f ca="1">INDEX(
  INDEX(TabConsolid[], , _xlfn.XMATCH(TabTRADER[[#This Row],[ClickTick]]&amp;1, TabConsolid[#Headers])),
  MATCH(
    -TabTRADER[[#This Row],[M]],
    INDEX(TabConsolid[], , _xlfn.XMATCH(TabTRADER[[#This Row],[ClickTick]]&amp;2, TabConsolid[#Headers])),
    -1
  )
)</f>
        <v>3000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56">
        <f ca="1">TabTRADER[[#This Row],[ReBuy]]/(TabTRADER[[#This Row],[L_Sn]]+TabTRADER[[#This Row],[SellMore]])</f>
        <v>16.112500000000001</v>
      </c>
      <c r="BN96" s="687">
        <f ca="1">((_xlfn.XLOOKUP(TabTRADER[[#This Row],[ClickTick]],TabCalc[Ticker],TabCalc[NAfter])+TabTRADER[[#This Row],[L_Sn]])*(TabTRADER[[#This Row],[Agiotage]]-TabTRADER[[#This Row],[M]]))/(TabTRADER[[#This Row],[L_Sn]]*_xlfn.XLOOKUP(TabTRADER[[#This Row],[ClickTick]],TabCalc[Ticker],TabCalc[NAfter]))</f>
        <v>-6.2625199153742029E-3</v>
      </c>
      <c r="BO96" s="687">
        <f ca="1">(TabTRADER[[#This Row],[M]]-TabTRADER[[#This Row],[Agiotage]])/(TabTRADER[[#This Row],[M]]-TabTRADER[[#This Row],[A]])-1</f>
        <v>8.1088243461624696</v>
      </c>
      <c r="BP96" s="1277">
        <f ca="1">_xlfn.XMATCH(TabTRADER[[#This Row],[ClickTick]]&amp;1, TabConsolid[#Headers])</f>
        <v>284</v>
      </c>
    </row>
    <row r="97" spans="1:68" ht="28" thickBot="1" x14ac:dyDescent="0.4">
      <c r="A97" s="224" t="s">
        <v>1086</v>
      </c>
      <c r="B97" s="1333"/>
      <c r="C97" s="1334"/>
      <c r="D97" s="671"/>
      <c r="E97" s="752"/>
      <c r="F97" s="1333"/>
      <c r="G97" s="1335"/>
      <c r="H97" s="1334"/>
      <c r="I97" s="1336"/>
      <c r="J97" s="1334"/>
      <c r="K97" s="1334"/>
      <c r="L97" s="672"/>
      <c r="M97" s="1334"/>
      <c r="N97" s="1337"/>
      <c r="O97" s="703"/>
      <c r="P97" s="857"/>
      <c r="Q97" s="855"/>
      <c r="R97" s="1338"/>
      <c r="S97" s="702">
        <f ca="1">SUBTOTAL(109,TabTRADER[Sale_Back_$])</f>
        <v>276052.65243020176</v>
      </c>
      <c r="T97" s="786"/>
      <c r="U97" s="697">
        <f ca="1">SUBTOTAL(109,TabTRADER[SncOpenYest%])</f>
        <v>0</v>
      </c>
      <c r="V97" s="740"/>
      <c r="W97" s="1069"/>
      <c r="X97" s="1344"/>
      <c r="Y97" s="804"/>
      <c r="Z97" s="866"/>
      <c r="AA97" s="1"/>
      <c r="AB97" s="1"/>
      <c r="AC97" s="767"/>
      <c r="AD97" s="844"/>
      <c r="AE97" s="1174"/>
      <c r="AF97" s="1174"/>
      <c r="AG97" s="738">
        <f ca="1">SUBTOTAL(109,TabTRADER[Sell/Buy_nL])</f>
        <v>462438.5554222599</v>
      </c>
      <c r="AH97" s="761">
        <f ca="1">SUBTOTAL(109,TabTRADER[GL_nM])</f>
        <v>463528.9610771999</v>
      </c>
      <c r="AI97" s="932">
        <f ca="1">SUBTOTAL(109,TabTRADER[GL_R/M_NA])</f>
        <v>13346959.203690341</v>
      </c>
      <c r="AJ97" s="761"/>
      <c r="AK97" s="929"/>
      <c r="AL97" s="932">
        <f ca="1">SUBTOTAL(109,TabTRADER[vs.LS$])</f>
        <v>51353.088916999979</v>
      </c>
      <c r="AM97" s="1285"/>
      <c r="AN97" s="1285"/>
      <c r="AO97" s="761"/>
      <c r="AP97" s="932">
        <f ca="1">SUBTOTAL(109,TabTRADER[vs.LB$])</f>
        <v>412175.87216020003</v>
      </c>
      <c r="AQ97" s="761"/>
      <c r="AR97" s="761"/>
      <c r="AS97" s="761"/>
      <c r="AT97" s="738"/>
      <c r="AU97" s="819">
        <f ca="1">SUBTOTAL(109,TabTRADER[SellMore(/A)])</f>
        <v>-0.27492676163589602</v>
      </c>
      <c r="AV97" s="820">
        <f ca="1">SUBTOTAL(109,TabTRADER[BuyMore])</f>
        <v>46.150119794200613</v>
      </c>
      <c r="AW97" s="1337"/>
      <c r="AX97" s="682"/>
      <c r="AY97" s="1339"/>
      <c r="AZ97" s="730">
        <f ca="1">SUBTOTAL(109,TabTRADER[Buy_Back])</f>
        <v>-44966.005024360056</v>
      </c>
      <c r="BA97" s="693">
        <f ca="1">SUBTOTAL(104,TabTRADER[Rev_B@Y])</f>
        <v>6.8384526267689694</v>
      </c>
      <c r="BB97" s="1334"/>
      <c r="BC97" s="674"/>
      <c r="BD97" s="685">
        <f ca="1">SUBTOTAL(109,TabTRADER[GL_Total])</f>
        <v>11501374.21033364</v>
      </c>
      <c r="BE97" s="685"/>
      <c r="BF97" s="673"/>
      <c r="BG97" s="1340">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-0.27492676163589602</v>
      </c>
      <c r="AW98" s="808">
        <f ca="1">SUM(TabTRADER[BuyMore])</f>
        <v>46.150119794200613</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51353.088916999979</v>
      </c>
      <c r="AM99" s="93"/>
      <c r="AN99" s="93"/>
      <c r="AO99" s="93"/>
      <c r="AP99" s="93"/>
      <c r="AR99" s="93">
        <f ca="1">SUM(AR3:AR96)</f>
        <v>4895032.3584668441</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463528.9610771999</v>
      </c>
      <c r="AI100" s="948">
        <f ca="1">SUM(TabTRADER[GL_R/M_NA])</f>
        <v>13346959.203690341</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AO114/[1]ExtEntry!$B$99</f>
        <v>613986.93358699407</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494" priority="145" operator="containsText" text="x0">
      <formula>NOT(ISERROR(SEARCH("x0",G3)))</formula>
    </cfRule>
    <cfRule type="containsText" dxfId="493" priority="168" operator="containsText" text=" -">
      <formula>NOT(ISERROR(SEARCH(" -",G3)))</formula>
    </cfRule>
  </conditionalFormatting>
  <conditionalFormatting sqref="I3:I96">
    <cfRule type="containsText" dxfId="49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1" priority="162" operator="containsText" text=" 0">
      <formula>NOT(ISERROR(SEARCH(" 0",B3)))</formula>
    </cfRule>
  </conditionalFormatting>
  <conditionalFormatting sqref="B3:B96">
    <cfRule type="containsText" dxfId="490" priority="163" operator="containsText" text=" -">
      <formula>NOT(ISERROR(SEARCH(" -",B3)))</formula>
    </cfRule>
  </conditionalFormatting>
  <conditionalFormatting sqref="H3:I96">
    <cfRule type="containsText" dxfId="489" priority="158" operator="containsText" text="Free">
      <formula>NOT(ISERROR(SEARCH("Free",H3)))</formula>
    </cfRule>
    <cfRule type="containsText" dxfId="488" priority="159" operator="containsText" text="Buy">
      <formula>NOT(ISERROR(SEARCH("Buy",H3)))</formula>
    </cfRule>
    <cfRule type="containsText" dxfId="487" priority="160" operator="containsText" text="Refill">
      <formula>NOT(ISERROR(SEARCH("Refill",H3)))</formula>
    </cfRule>
    <cfRule type="containsText" dxfId="486" priority="161" operator="containsText" text="S_more">
      <formula>NOT(ISERROR(SEARCH("S_more",H3)))</formula>
    </cfRule>
  </conditionalFormatting>
  <conditionalFormatting sqref="D98 C2:C96">
    <cfRule type="containsText" dxfId="485" priority="154" operator="containsText" text="Free">
      <formula>NOT(ISERROR(SEARCH("Free",C2)))</formula>
    </cfRule>
    <cfRule type="containsText" dxfId="484" priority="155" operator="containsText" text="Sell">
      <formula>NOT(ISERROR(SEARCH("Sell",C2)))</formula>
    </cfRule>
    <cfRule type="containsText" dxfId="483" priority="156" operator="containsText" text="Re-Sell">
      <formula>NOT(ISERROR(SEARCH("Re-Sell",C2)))</formula>
    </cfRule>
    <cfRule type="containsText" dxfId="482" priority="157" operator="containsText" text="B_more">
      <formula>NOT(ISERROR(SEARCH("B_more",C2)))</formula>
    </cfRule>
  </conditionalFormatting>
  <conditionalFormatting sqref="N98 E3:E96">
    <cfRule type="containsText" dxfId="481" priority="142" operator="containsText" text="Free">
      <formula>NOT(ISERROR(SEARCH("Free",E3)))</formula>
    </cfRule>
    <cfRule type="containsText" dxfId="480" priority="149" operator="containsText" text="M&lt;min">
      <formula>NOT(ISERROR(SEARCH("M&lt;min",E3)))</formula>
    </cfRule>
    <cfRule type="containsText" dxfId="479" priority="150" operator="containsText" text="A&lt;M">
      <formula>NOT(ISERROR(SEARCH("A&lt;M",E3)))</formula>
    </cfRule>
    <cfRule type="containsText" dxfId="478" priority="151" operator="containsText" text="M&gt;Last Sale">
      <formula>NOT(ISERROR(SEARCH("M&gt;Last Sale",E3)))</formula>
    </cfRule>
    <cfRule type="containsText" dxfId="477" priority="152" operator="containsText" text="M&gt;Y">
      <formula>NOT(ISERROR(SEARCH("M&gt;Y",E3)))</formula>
    </cfRule>
  </conditionalFormatting>
  <conditionalFormatting sqref="C3:C96">
    <cfRule type="expression" dxfId="476" priority="146">
      <formula>#REF!=0</formula>
    </cfRule>
  </conditionalFormatting>
  <conditionalFormatting sqref="N98 E3:E96">
    <cfRule type="containsText" dxfId="475" priority="148" operator="containsText" text="A&gt;M">
      <formula>NOT(ISERROR(SEARCH("A&gt;M",E3)))</formula>
    </cfRule>
  </conditionalFormatting>
  <conditionalFormatting sqref="BG2:BK96">
    <cfRule type="containsText" dxfId="474" priority="135" operator="containsText" text="Trade">
      <formula>NOT(ISERROR(SEARCH("Trade",BG2)))</formula>
    </cfRule>
  </conditionalFormatting>
  <conditionalFormatting sqref="D3:E96">
    <cfRule type="expression" dxfId="473" priority="182">
      <formula>#REF!=0</formula>
    </cfRule>
    <cfRule type="expression" dxfId="472"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471" priority="131" operator="greaterThan">
      <formula>0</formula>
    </cfRule>
    <cfRule type="cellIs" dxfId="470" priority="132" operator="lessThan">
      <formula>0</formula>
    </cfRule>
  </conditionalFormatting>
  <conditionalFormatting sqref="BF3:BF96">
    <cfRule type="containsText" dxfId="469" priority="122" operator="containsText" text="Pile">
      <formula>NOT(ISERROR(SEARCH("Pile",BF3)))</formula>
    </cfRule>
  </conditionalFormatting>
  <conditionalFormatting sqref="BM97:BP97">
    <cfRule type="expression" dxfId="468" priority="119">
      <formula>$BG98&gt;=$BF98</formula>
    </cfRule>
  </conditionalFormatting>
  <conditionalFormatting sqref="BM2:BO3 BN4:BO94 BM4:BM96 BP2:BP94">
    <cfRule type="expression" dxfId="467" priority="1068">
      <formula>$BM3&gt;=$BL3</formula>
    </cfRule>
  </conditionalFormatting>
  <conditionalFormatting sqref="U97">
    <cfRule type="cellIs" dxfId="466" priority="117" operator="lessThan">
      <formula>"/ -"</formula>
    </cfRule>
  </conditionalFormatting>
  <conditionalFormatting sqref="S2:S97">
    <cfRule type="cellIs" dxfId="465" priority="115" operator="lessThan">
      <formula>-1000</formula>
    </cfRule>
    <cfRule type="cellIs" dxfId="464" priority="116" operator="greaterThan">
      <formula>1000</formula>
    </cfRule>
  </conditionalFormatting>
  <conditionalFormatting sqref="O3:O96">
    <cfRule type="containsText" dxfId="463" priority="112" operator="containsText" text="Pile">
      <formula>NOT(ISERROR(SEARCH("Pile",O3)))</formula>
    </cfRule>
  </conditionalFormatting>
  <conditionalFormatting sqref="AD2:AD97">
    <cfRule type="containsText" dxfId="462" priority="104" operator="containsText" text="Trade">
      <formula>NOT(ISERROR(SEARCH("Trade",AD2)))</formula>
    </cfRule>
    <cfRule type="containsText" dxfId="461" priority="111" operator="containsText" text="Pile^">
      <formula>NOT(ISERROR(SEARCH("Pile^",AD2)))</formula>
    </cfRule>
  </conditionalFormatting>
  <conditionalFormatting sqref="BA3:BA96">
    <cfRule type="cellIs" dxfId="460" priority="106" operator="lessThan">
      <formula>0</formula>
    </cfRule>
    <cfRule type="expression" dxfId="459" priority="1351">
      <formula>AND($BA3&gt;50%,$BA3&lt;100%)</formula>
    </cfRule>
    <cfRule type="cellIs" dxfId="458" priority="1352" operator="greaterThan">
      <formula>1</formula>
    </cfRule>
  </conditionalFormatting>
  <conditionalFormatting sqref="U3:U96">
    <cfRule type="containsText" dxfId="457" priority="99" operator="containsText" text="/ -">
      <formula>NOT(ISERROR(SEARCH("/ -",U3)))</formula>
    </cfRule>
  </conditionalFormatting>
  <conditionalFormatting sqref="BL2:BL96">
    <cfRule type="containsText" dxfId="456" priority="85" operator="containsText" text="Trade">
      <formula>NOT(ISERROR(SEARCH("Trade",BL2)))</formula>
    </cfRule>
  </conditionalFormatting>
  <conditionalFormatting sqref="AD101">
    <cfRule type="containsText" dxfId="455" priority="79" operator="containsText" text="More">
      <formula>NOT(ISERROR(SEARCH("More",AD101)))</formula>
    </cfRule>
    <cfRule type="containsText" dxfId="454" priority="80" operator="containsText" text="Up">
      <formula>NOT(ISERROR(SEARCH("Up",AD101)))</formula>
    </cfRule>
    <cfRule type="containsText" dxfId="453" priority="81" operator="containsText" text="Down">
      <formula>NOT(ISERROR(SEARCH("Down",AD101)))</formula>
    </cfRule>
  </conditionalFormatting>
  <conditionalFormatting sqref="AD101">
    <cfRule type="containsText" dxfId="452" priority="82" operator="containsText" text="Buy">
      <formula>NOT(ISERROR(SEARCH("Buy",AD101)))</formula>
    </cfRule>
    <cfRule type="containsText" dxfId="451" priority="83" operator="containsText" text="Sell">
      <formula>NOT(ISERROR(SEARCH("Sell",AD101)))</formula>
    </cfRule>
  </conditionalFormatting>
  <conditionalFormatting sqref="AD102">
    <cfRule type="containsText" dxfId="450" priority="69" operator="containsText" text="More">
      <formula>NOT(ISERROR(SEARCH("More",AD102)))</formula>
    </cfRule>
    <cfRule type="containsText" dxfId="449" priority="70" operator="containsText" text="Up">
      <formula>NOT(ISERROR(SEARCH("Up",AD102)))</formula>
    </cfRule>
    <cfRule type="containsText" dxfId="448" priority="71" operator="containsText" text="Down">
      <formula>NOT(ISERROR(SEARCH("Down",AD102)))</formula>
    </cfRule>
  </conditionalFormatting>
  <conditionalFormatting sqref="AD102">
    <cfRule type="containsText" dxfId="447" priority="72" operator="containsText" text="Buy">
      <formula>NOT(ISERROR(SEARCH("Buy",AD102)))</formula>
    </cfRule>
    <cfRule type="containsText" dxfId="446" priority="73" operator="containsText" text="Sell">
      <formula>NOT(ISERROR(SEARCH("Sell",AD102)))</formula>
    </cfRule>
  </conditionalFormatting>
  <conditionalFormatting sqref="AD105">
    <cfRule type="containsText" dxfId="445" priority="64" operator="containsText" text="More">
      <formula>NOT(ISERROR(SEARCH("More",AD105)))</formula>
    </cfRule>
    <cfRule type="containsText" dxfId="444" priority="65" operator="containsText" text="Up">
      <formula>NOT(ISERROR(SEARCH("Up",AD105)))</formula>
    </cfRule>
    <cfRule type="containsText" dxfId="443" priority="66" operator="containsText" text="Down">
      <formula>NOT(ISERROR(SEARCH("Down",AD105)))</formula>
    </cfRule>
  </conditionalFormatting>
  <conditionalFormatting sqref="AD105">
    <cfRule type="containsText" dxfId="442" priority="67" operator="containsText" text="Buy">
      <formula>NOT(ISERROR(SEARCH("Buy",AD105)))</formula>
    </cfRule>
    <cfRule type="containsText" dxfId="441" priority="68" operator="containsText" text="Sell">
      <formula>NOT(ISERROR(SEARCH("Sell",AD105)))</formula>
    </cfRule>
  </conditionalFormatting>
  <conditionalFormatting sqref="AD106">
    <cfRule type="containsText" dxfId="440" priority="59" operator="containsText" text="More">
      <formula>NOT(ISERROR(SEARCH("More",AD106)))</formula>
    </cfRule>
    <cfRule type="containsText" dxfId="439" priority="60" operator="containsText" text="Up">
      <formula>NOT(ISERROR(SEARCH("Up",AD106)))</formula>
    </cfRule>
    <cfRule type="containsText" dxfId="438" priority="61" operator="containsText" text="Down">
      <formula>NOT(ISERROR(SEARCH("Down",AD106)))</formula>
    </cfRule>
  </conditionalFormatting>
  <conditionalFormatting sqref="AD106">
    <cfRule type="containsText" dxfId="437" priority="62" operator="containsText" text="Buy">
      <formula>NOT(ISERROR(SEARCH("Buy",AD106)))</formula>
    </cfRule>
    <cfRule type="containsText" dxfId="436" priority="63" operator="containsText" text="Sell">
      <formula>NOT(ISERROR(SEARCH("Sell",AD106)))</formula>
    </cfRule>
  </conditionalFormatting>
  <conditionalFormatting sqref="AV3:AV96">
    <cfRule type="containsText" dxfId="435" priority="54" operator="containsText" text="More">
      <formula>NOT(ISERROR(SEARCH("More",AV3)))</formula>
    </cfRule>
    <cfRule type="containsText" dxfId="434" priority="55" operator="containsText" text="Up">
      <formula>NOT(ISERROR(SEARCH("Up",AV3)))</formula>
    </cfRule>
    <cfRule type="containsText" dxfId="433" priority="56" operator="containsText" text="Down">
      <formula>NOT(ISERROR(SEARCH("Down",AV3)))</formula>
    </cfRule>
  </conditionalFormatting>
  <conditionalFormatting sqref="AV3:AV96">
    <cfRule type="containsText" dxfId="432" priority="57" operator="containsText" text="Buy">
      <formula>NOT(ISERROR(SEARCH("Buy",AV3)))</formula>
    </cfRule>
    <cfRule type="containsText" dxfId="431" priority="58" operator="containsText" text="Sell">
      <formula>NOT(ISERROR(SEARCH("Sell",AV3)))</formula>
    </cfRule>
  </conditionalFormatting>
  <conditionalFormatting sqref="Y3:Y96">
    <cfRule type="expression" dxfId="430" priority="22">
      <formula>AND(Y3&lt;&gt;0,Y3&lt;MIN(W3,AA3))</formula>
    </cfRule>
    <cfRule type="expression" dxfId="429" priority="45">
      <formula>AND(Y3&lt;&gt;0,Y3&lt;W3,Y3&gt;AA3)</formula>
    </cfRule>
  </conditionalFormatting>
  <conditionalFormatting sqref="T3:T96">
    <cfRule type="expression" dxfId="428" priority="1829" stopIfTrue="1">
      <formula>$T3&gt;MAX(ABS($AA3),$W3)</formula>
    </cfRule>
    <cfRule type="expression" dxfId="427" priority="1830" stopIfTrue="1">
      <formula>$T3&gt;AND(MAX(ABS($AA3),$W3),ABS($AA3)&lt;$W3)</formula>
    </cfRule>
  </conditionalFormatting>
  <conditionalFormatting sqref="T3:T96">
    <cfRule type="expression" dxfId="426" priority="1831" stopIfTrue="1">
      <formula>AND($T3&lt;=MIN(ABS($AA3),$W3),ABS($AA3)&gt;$W3,$W3&lt;=0)</formula>
    </cfRule>
    <cfRule type="expression" dxfId="425" priority="1832" stopIfTrue="1">
      <formula>AND($T3&lt;=MIN(ABS($AA3),$W3),ABS($AA3)&lt;$W3,$W3&lt;=0)</formula>
    </cfRule>
  </conditionalFormatting>
  <conditionalFormatting sqref="W3:W96">
    <cfRule type="expression" dxfId="424" priority="1833">
      <formula>W3&gt;MAX(AA3,Y3)</formula>
    </cfRule>
    <cfRule type="expression" dxfId="423" priority="1834">
      <formula>AND(W3&gt;MAX(Y3,AA3), AA3&lt;Y3)</formula>
    </cfRule>
    <cfRule type="expression" dxfId="422" priority="1835" stopIfTrue="1">
      <formula>AND(W3&gt;MAX(Y3,AA3), AA3&gt;Y3)</formula>
    </cfRule>
    <cfRule type="expression" dxfId="421" priority="1836">
      <formula>AND(W3&lt;MIN(Y3,AA3),AA3&lt;Y3)</formula>
    </cfRule>
    <cfRule type="expression" dxfId="420" priority="1837">
      <formula>AND(AA3&gt;MAX(Y3,W3),Y3&lt;W3)</formula>
    </cfRule>
  </conditionalFormatting>
  <conditionalFormatting sqref="AT3:AT96">
    <cfRule type="containsText" dxfId="419" priority="26" operator="containsText" text="No">
      <formula>NOT(ISERROR(SEARCH("No",AT3)))</formula>
    </cfRule>
    <cfRule type="containsText" dxfId="418" priority="27" operator="containsText" text="M&lt;">
      <formula>NOT(ISERROR(SEARCH("M&lt;",AT3)))</formula>
    </cfRule>
    <cfRule type="containsText" dxfId="417" priority="28" operator="containsText" text="M&gt;">
      <formula>NOT(ISERROR(SEARCH("M&gt;",AT3)))</formula>
    </cfRule>
  </conditionalFormatting>
  <conditionalFormatting sqref="AA3:AA96">
    <cfRule type="expression" dxfId="416" priority="24">
      <formula>$AA3&lt;MIN($W3,$Y3)</formula>
    </cfRule>
  </conditionalFormatting>
  <conditionalFormatting sqref="AK2:AK97">
    <cfRule type="containsText" dxfId="415" priority="21" operator="containsText" text="Don't">
      <formula>NOT(ISERROR(SEARCH("Don't",AK2)))</formula>
    </cfRule>
  </conditionalFormatting>
  <conditionalFormatting sqref="AN2:AN97">
    <cfRule type="cellIs" dxfId="414" priority="19" operator="lessThan">
      <formula>0.5</formula>
    </cfRule>
  </conditionalFormatting>
  <conditionalFormatting sqref="AM2:AM96">
    <cfRule type="cellIs" dxfId="413" priority="18" operator="lessThan">
      <formula>0</formula>
    </cfRule>
  </conditionalFormatting>
  <conditionalFormatting sqref="X2:X97">
    <cfRule type="containsText" dxfId="412" priority="15" operator="containsText" text="WBA">
      <formula>NOT(ISERROR(SEARCH("WBA",X2)))</formula>
    </cfRule>
  </conditionalFormatting>
  <conditionalFormatting sqref="BN95:BP95">
    <cfRule type="expression" dxfId="411" priority="2349">
      <formula>$BM97&gt;=$BL97</formula>
    </cfRule>
  </conditionalFormatting>
  <conditionalFormatting sqref="AP3:AR96 AJ3:AL96">
    <cfRule type="expression" dxfId="410" priority="2358">
      <formula>$AE3=$AD$102</formula>
    </cfRule>
  </conditionalFormatting>
  <conditionalFormatting sqref="AI79:AJ96 AJ3:AJ78">
    <cfRule type="expression" dxfId="409" priority="2360">
      <formula>$AE3=$AD$105</formula>
    </cfRule>
  </conditionalFormatting>
  <conditionalFormatting sqref="AP3:AR96 AI79:AL96 AJ3:AL78">
    <cfRule type="expression" dxfId="408" priority="2361">
      <formula>$AE3=$AD$106</formula>
    </cfRule>
  </conditionalFormatting>
  <conditionalFormatting sqref="X96">
    <cfRule type="expression" dxfId="407" priority="14">
      <formula>AND(ROW()&gt;2, ROW()=SelRowNum)</formula>
    </cfRule>
  </conditionalFormatting>
  <conditionalFormatting sqref="X96">
    <cfRule type="expression" dxfId="406" priority="13">
      <formula>AND(ROW()&gt;2, ROW()=SelRowNum)</formula>
    </cfRule>
  </conditionalFormatting>
  <conditionalFormatting sqref="AX96">
    <cfRule type="expression" dxfId="405" priority="12">
      <formula>AND(ROW()&gt;2, ROW()=SelRowNum)</formula>
    </cfRule>
  </conditionalFormatting>
  <conditionalFormatting sqref="AK96">
    <cfRule type="expression" dxfId="404" priority="11">
      <formula>AND(ROW()&gt;2, ROW()=SelRowNum)</formula>
    </cfRule>
  </conditionalFormatting>
  <conditionalFormatting sqref="AE96">
    <cfRule type="expression" dxfId="403" priority="9">
      <formula>AND(ROW()&gt;2, ROW()=SelRowNum)</formula>
    </cfRule>
  </conditionalFormatting>
  <conditionalFormatting sqref="AM96">
    <cfRule type="expression" dxfId="402"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0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7" workbookViewId="0">
      <selection activeCell="Z112" sqref="Z112"/>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125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45968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45968</v>
      </c>
      <c r="B11" s="441" t="s">
        <v>136</v>
      </c>
      <c r="C11" s="441" t="s">
        <v>131</v>
      </c>
      <c r="D11" s="943" t="s">
        <v>138</v>
      </c>
      <c r="E11" s="57" t="s">
        <v>48</v>
      </c>
      <c r="F11" s="58">
        <v>2000</v>
      </c>
      <c r="G11" s="437"/>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20,000xM@58.3, A@ 59.51, Y@ 61.5, L_Bp@ -58.45x2000, L_Sp@ 61.2x21, Cl@ 58.2, Low@ 58.2, High@ 58.8, Agio=76%</v>
      </c>
      <c r="I11" s="444" t="str" cm="1">
        <f t="array" aca="1" ref="I11" ca="1">IF(D11&lt;&gt;"",IFERROR(_xlfn.IFS(AND(C11="Limit",G11&lt;=0), "Enter Limit price",   AND(B11=Sell,_xlfn.XLOOKUP(J11,TabCalc[Ticker],TabCalc[NAfter])&lt;Mail!F11),"No enough stock"),""),"")</f>
        <v/>
      </c>
      <c r="J11" s="34" t="str">
        <f t="shared" ref="J11:J13" si="1">IF(OR(D11="MVE",D11="SAF",D11="JB"),   D11&amp;E11,         IF(E11&lt;&gt;"",E11,""))</f>
        <v>VONN</v>
      </c>
    </row>
    <row r="12" spans="1:10" ht="23" thickBot="1" x14ac:dyDescent="0.35">
      <c r="A12" s="427">
        <f t="shared" ca="1" si="0"/>
        <v>45968</v>
      </c>
      <c r="B12" s="441" t="s">
        <v>130</v>
      </c>
      <c r="C12" s="441" t="s">
        <v>131</v>
      </c>
      <c r="D12" s="943" t="s">
        <v>138</v>
      </c>
      <c r="E12" s="57" t="s">
        <v>22</v>
      </c>
      <c r="F12" s="58">
        <v>20000</v>
      </c>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110,000xM@366.2, A@ 250.59, Y@ 464.0942, L_Bp@ -249.01x20000, L_Sp@ 380.01x20000, Cl@ 414.1, Low@ 366.2, High@ 389.2, Agio=385%</v>
      </c>
      <c r="I12" s="444" t="str" cm="1">
        <f t="array" aca="1" ref="I12" ca="1">IF(D12&lt;&gt;"",IFERROR(_xlfn.IFS(AND(C12="Limit",G12&lt;=0), "Enter Limit price",   AND(B12=Sell,_xlfn.XLOOKUP(J12,TabCalc[Ticker],TabCalc[NAfter])&lt;Mail!F12),"No enough stock"),""),"")</f>
        <v/>
      </c>
      <c r="J12" s="34" t="str">
        <f t="shared" si="1"/>
        <v>IAG</v>
      </c>
    </row>
    <row r="13" spans="1:10" ht="23" thickBot="1" x14ac:dyDescent="0.35">
      <c r="A13" s="427">
        <f t="shared" ca="1" si="0"/>
        <v>45968</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45968</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45968</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VONN, IAG</v>
      </c>
      <c r="I25" s="444"/>
      <c r="J25" s="34"/>
    </row>
    <row r="26" spans="1:10" ht="23" thickBot="1" x14ac:dyDescent="0.35">
      <c r="A26" s="34"/>
      <c r="B26" s="34"/>
      <c r="C26" s="34"/>
      <c r="D26" s="59" t="s">
        <v>149</v>
      </c>
      <c r="E26" s="412" t="str">
        <f>F3</f>
        <v>Dear Albi,</v>
      </c>
      <c r="F26" s="411"/>
      <c r="G26" s="413"/>
      <c r="H26" s="430" t="str">
        <f>E26</f>
        <v>Dear Albi,</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Please BUY today VONN 2,000 shares at market for account .002</v>
      </c>
      <c r="F29" s="411" t="str">
        <f>IFERROR(RIGHT(E29,LEN(E29)-6),"")</f>
        <v xml:space="preserve"> BUY today VONN 2,000 shares at market for account .002</v>
      </c>
      <c r="G29" s="413"/>
      <c r="H29" s="430" t="str">
        <f>E29</f>
        <v>Please BUY today VONN 2,000 shares at market for account .002</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Please SELL today IAG 20,000 shares at market for account .002</v>
      </c>
      <c r="F30" s="411" t="str">
        <f t="shared" ref="F30:F33" si="3">IFERROR(RIGHT(E30,LEN(E30)-6),"")</f>
        <v xml:space="preserve"> SELL today IAG 20,000 shares at market for account .002</v>
      </c>
      <c r="G30" s="413"/>
      <c r="H30" s="430" t="str">
        <f>IF(E30="",E34,E30)</f>
        <v>Please SELL today IAG 20,000 shares at market for account .002</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Please inform about the execution.</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Thanks in advance!</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Best regards,</v>
      </c>
      <c r="I34" s="34"/>
      <c r="J34" s="34"/>
    </row>
    <row r="35" spans="1:10" x14ac:dyDescent="0.3">
      <c r="A35" s="34"/>
      <c r="B35" s="34"/>
      <c r="C35" s="34"/>
      <c r="D35" s="40"/>
      <c r="E35" s="416" t="s">
        <v>154</v>
      </c>
      <c r="F35" s="417"/>
      <c r="G35" s="418"/>
      <c r="H35" s="430" t="str" cm="1">
        <f t="array" ref="H35">IFERROR(_xlfn.IFS(H34="",E35,H34=E35,E36,H34=E36,E37,H34=E37,E38),"")</f>
        <v>Kosta</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5.5978304210526343E-5</v>
      </c>
      <c r="C4" s="1138">
        <v>9.9999999999999995E-7</v>
      </c>
      <c r="D4" s="1139">
        <v>-212.01869578947367</v>
      </c>
      <c r="E4" s="1142">
        <f ca="1">F4*(_xlfn.XLOOKUP(E$3,TabCalc[Ticker],TabCalc[M])+G4)</f>
        <v>9.7022000000000123E-7</v>
      </c>
      <c r="F4" s="1138">
        <v>9.9999999999999995E-7</v>
      </c>
      <c r="G4" s="1139">
        <v>-13.074779999999999</v>
      </c>
      <c r="H4" s="1142">
        <f ca="1">I4*(_xlfn.XLOOKUP(H$3,TabCalc[Ticker],TabCalc[M])+J4)</f>
        <v>-4.5370279032926813E-6</v>
      </c>
      <c r="I4" s="1138">
        <v>9.9999999999999995E-7</v>
      </c>
      <c r="J4" s="1139">
        <v>-49.237027903292685</v>
      </c>
      <c r="K4" s="1142">
        <f ca="1">L4*(_xlfn.XLOOKUP(K$3,TabCalc[Ticker],TabCalc[M])+M4)</f>
        <v>4.1401434999999989E-5</v>
      </c>
      <c r="L4" s="1138">
        <v>9.9999999999999995E-7</v>
      </c>
      <c r="M4" s="1139">
        <v>-203.15856500000001</v>
      </c>
      <c r="N4" s="1142">
        <f ca="1">O4*(_xlfn.XLOOKUP(N$3,TabCalc[Ticker],TabCalc[M])+P4)</f>
        <v>-3.8696483844415686E-7</v>
      </c>
      <c r="O4" s="1138">
        <v>9.9999999999999995E-7</v>
      </c>
      <c r="P4" s="1139">
        <v>-1.1669648384441569</v>
      </c>
      <c r="Q4" s="1142">
        <f ca="1">R4*(_xlfn.XLOOKUP(Q$3,TabCalc[Ticker],TabCalc[M])+S4)</f>
        <v>2.114599999999999E-4</v>
      </c>
      <c r="R4" s="1138">
        <v>9.9999999999999995E-7</v>
      </c>
      <c r="S4" s="1139">
        <v>-659.34</v>
      </c>
      <c r="T4" s="1142">
        <f ca="1">U4*(_xlfn.XLOOKUP(T$3,TabCalc[Ticker],TabCalc[M])+V4)</f>
        <v>7.6651979182499984E-5</v>
      </c>
      <c r="U4" s="1304">
        <v>9.9999999999999995E-7</v>
      </c>
      <c r="V4" s="1140">
        <v>-270.73302081750001</v>
      </c>
      <c r="W4" s="1142">
        <f ca="1">X4*(_xlfn.XLOOKUP(W$3,TabCalc[Ticker],TabCalc[M])+Y4)</f>
        <v>1.4715000000000002E-5</v>
      </c>
      <c r="X4" s="1138">
        <v>9.9999999999999995E-7</v>
      </c>
      <c r="Y4" s="1139">
        <v>-69.84</v>
      </c>
      <c r="Z4" s="1142">
        <f ca="1">AA4*(_xlfn.XLOOKUP(Z$3,TabCalc[Ticker],TabCalc[M])+AB4)</f>
        <v>1.3409999999999997E-6</v>
      </c>
      <c r="AA4" s="1138">
        <v>9.9999999999999995E-7</v>
      </c>
      <c r="AB4" s="1139">
        <v>-2.1440000000000001</v>
      </c>
      <c r="AC4" s="1142">
        <f ca="1">AD4*(_xlfn.XLOOKUP(AC$3,TabCalc[Ticker],TabCalc[M])+AE4)</f>
        <v>-1.0222099999999998E-5</v>
      </c>
      <c r="AD4" s="1138">
        <v>9.9999999999999995E-7</v>
      </c>
      <c r="AE4" s="1139">
        <v>-12.7196</v>
      </c>
      <c r="AF4" s="1142">
        <f ca="1">AG4*(_xlfn.XLOOKUP(AF$3,TabCalc[Ticker],TabCalc[M])+AH4)</f>
        <v>1.4080952380952283E-6</v>
      </c>
      <c r="AG4" s="1138">
        <v>9.9999999999999995E-7</v>
      </c>
      <c r="AH4" s="1139">
        <v>-99.111904761904768</v>
      </c>
      <c r="AI4" s="1142">
        <f ca="1">AJ4*(_xlfn.XLOOKUP(AI$3,TabCalc[Ticker],TabCalc[M])+AK4)</f>
        <v>3.724999999999994E-6</v>
      </c>
      <c r="AJ4" s="1138">
        <v>9.9999999999999995E-7</v>
      </c>
      <c r="AK4" s="1139">
        <v>-67.2</v>
      </c>
      <c r="AL4" s="1142">
        <f ca="1">AM4*(_xlfn.XLOOKUP(AL$3,TabCalc[Ticker],TabCalc[M])+AN4)</f>
        <v>2.2783810000000001E-5</v>
      </c>
      <c r="AM4" s="1138">
        <v>9.9999999999999995E-7</v>
      </c>
      <c r="AN4" s="1139">
        <v>-56.056190000000001</v>
      </c>
      <c r="AO4" s="1142">
        <f ca="1">AP4*(_xlfn.XLOOKUP(AO$3,TabCalc[Ticker],TabCalc[M])+AQ4)</f>
        <v>-7.6205882352941137E-7</v>
      </c>
      <c r="AP4" s="1138">
        <v>9.9999999999999995E-7</v>
      </c>
      <c r="AQ4" s="1139">
        <v>-2.9870588235294115</v>
      </c>
      <c r="AR4" s="1142">
        <f ca="1">AS4*(_xlfn.XLOOKUP(AR$3,TabCalc[Ticker],TabCalc[M])+AT4)</f>
        <v>-3.843999999999994E-6</v>
      </c>
      <c r="AS4" s="1138">
        <v>9.9999999999999995E-7</v>
      </c>
      <c r="AT4" s="1139">
        <v>-114.574</v>
      </c>
      <c r="AU4" s="1142">
        <f ca="1">AV4*(_xlfn.XLOOKUP(AU$3,TabCalc[Ticker],TabCalc[M])+AW4)</f>
        <v>-6.7325000000000012E-6</v>
      </c>
      <c r="AV4" s="1138">
        <v>9.9999999999999995E-7</v>
      </c>
      <c r="AW4" s="1139">
        <v>-30.072500000000002</v>
      </c>
      <c r="AX4" s="1142">
        <f ca="1">AY4*(_xlfn.XLOOKUP(AX$3,TabCalc[Ticker],TabCalc[M])+AZ4)</f>
        <v>-3.6411000000000086E-6</v>
      </c>
      <c r="AY4" s="1138">
        <v>9.9999999999999995E-7</v>
      </c>
      <c r="AZ4" s="1139">
        <v>-126.96610000000001</v>
      </c>
      <c r="BA4" s="1142">
        <f ca="1">BB4*(_xlfn.XLOOKUP(BA$3,TabCalc[Ticker],TabCalc[M])+BC4)</f>
        <v>-2.6674999999999986E-6</v>
      </c>
      <c r="BB4" s="1138">
        <v>9.9999999999999995E-7</v>
      </c>
      <c r="BC4" s="1139">
        <v>-15.842499999999999</v>
      </c>
      <c r="BD4" s="1142">
        <f ca="1">BE4*(_xlfn.XLOOKUP(BD$3,TabCalc[Ticker],TabCalc[M])+BF4)</f>
        <v>1.1120000000000019E-7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2.3983999999999993E-5</v>
      </c>
      <c r="BK4" s="1138">
        <v>9.9999999999999995E-7</v>
      </c>
      <c r="BL4" s="1139">
        <v>-46.676000000000002</v>
      </c>
      <c r="BM4" s="1142">
        <f ca="1">BN4*(_xlfn.XLOOKUP(BM$3,TabCalc[Ticker],TabCalc[M])+BO4)</f>
        <v>3.0139313043478245E-6</v>
      </c>
      <c r="BN4" s="1138">
        <v>9.9999999999999995E-7</v>
      </c>
      <c r="BO4" s="1139">
        <v>-20.386068695652174</v>
      </c>
      <c r="BP4" s="1142">
        <f ca="1">BQ4*(_xlfn.XLOOKUP(BP$3,TabCalc[Ticker],TabCalc[M])+BR4)</f>
        <v>1.1700000000000088E-7</v>
      </c>
      <c r="BQ4" s="1138">
        <v>9.9999999999999995E-7</v>
      </c>
      <c r="BR4" s="1139">
        <v>-26.097999999999999</v>
      </c>
      <c r="BS4" s="1142">
        <f ca="1">BT4*(_xlfn.XLOOKUP(BS$3,TabCalc[Ticker],TabCalc[M])+BU4)</f>
        <v>1.1560155384615384E-4</v>
      </c>
      <c r="BT4" s="1138">
        <v>9.9999999999999995E-7</v>
      </c>
      <c r="BU4" s="1139">
        <v>-250.59844615384614</v>
      </c>
      <c r="BV4" s="1142">
        <f ca="1">BW4*(_xlfn.XLOOKUP(BV$3,TabCalc[Ticker],TabCalc[M])+BX4)</f>
        <v>-1.9444285714285741E-6</v>
      </c>
      <c r="BW4" s="1138">
        <v>9.9999999999999995E-7</v>
      </c>
      <c r="BX4" s="1139">
        <v>-66.849428571428575</v>
      </c>
      <c r="BY4" s="1142">
        <f ca="1">BZ4*(_xlfn.XLOOKUP(BY$3,TabCalc[Ticker],TabCalc[M])+CA4)</f>
        <v>1.063E-5</v>
      </c>
      <c r="BZ4" s="1138">
        <v>9.9999999999999995E-7</v>
      </c>
      <c r="CA4" s="1139"/>
      <c r="CB4" s="1142">
        <f ca="1">CC4*(_xlfn.XLOOKUP(CB$3,TabCalc[Ticker],TabCalc[M])+CD4)</f>
        <v>5.4166999999999993E-6</v>
      </c>
      <c r="CC4" s="1138">
        <v>9.9999999999999995E-7</v>
      </c>
      <c r="CD4" s="1139">
        <v>-5.0682999999999998</v>
      </c>
      <c r="CE4" s="1142">
        <f ca="1">CF4*(_xlfn.XLOOKUP(CE$3,TabCalc[Ticker],TabCalc[M])+CG4)</f>
        <v>-4.7120336666666661E-5</v>
      </c>
      <c r="CF4" s="1138">
        <v>9.9999999999999995E-7</v>
      </c>
      <c r="CG4" s="1139">
        <v>-71.645336666666665</v>
      </c>
      <c r="CH4" s="1142">
        <f ca="1">CI4*(_xlfn.XLOOKUP(CH$3,TabCalc[Ticker],TabCalc[M])+CJ4)</f>
        <v>1.6364902040816326E-4</v>
      </c>
      <c r="CI4" s="1138">
        <v>9.9999999999999995E-7</v>
      </c>
      <c r="CJ4" s="1139">
        <v>-333.98097959183673</v>
      </c>
      <c r="CK4" s="1142">
        <f ca="1">CL4*(_xlfn.XLOOKUP(CK$3,TabCalc[Ticker],TabCalc[M])+CM4)</f>
        <v>1.2709556999999988E-5</v>
      </c>
      <c r="CL4" s="1138">
        <v>9.9999999999999995E-7</v>
      </c>
      <c r="CM4" s="1139">
        <v>-71.000443000000004</v>
      </c>
      <c r="CN4" s="1142">
        <f ca="1">CO4*(_xlfn.XLOOKUP(CN$3,TabCalc[Ticker],TabCalc[M])+CP4)</f>
        <v>2.0962395499999999E-5</v>
      </c>
      <c r="CO4" s="1138">
        <v>9.9999999999999995E-7</v>
      </c>
      <c r="CP4" s="1139">
        <v>-62.387604499999995</v>
      </c>
      <c r="CQ4" s="1142">
        <f ca="1">CR4*(_xlfn.XLOOKUP(CQ$3,TabCalc[Ticker],TabCalc[M])+CS4)</f>
        <v>-2.9684999999999944E-5</v>
      </c>
      <c r="CR4" s="1138">
        <v>9.9999999999999995E-7</v>
      </c>
      <c r="CS4" s="1139">
        <v>-1128.9349999999999</v>
      </c>
      <c r="CT4" s="1142">
        <f ca="1">CU4*(_xlfn.XLOOKUP(CT$3,TabCalc[Ticker],TabCalc[M])+CV4)</f>
        <v>-6.3850833427082161E-6</v>
      </c>
      <c r="CU4" s="1138">
        <v>9.9999999999999995E-7</v>
      </c>
      <c r="CV4" s="1139">
        <v>-9.4350833427082161</v>
      </c>
      <c r="CW4" s="1142">
        <f ca="1">CX4*(_xlfn.XLOOKUP(CW$3,TabCalc[Ticker],TabCalc[M])+CY4)</f>
        <v>5.4674000000000012E-6</v>
      </c>
      <c r="CX4" s="1138">
        <v>9.9999999999999995E-7</v>
      </c>
      <c r="CY4" s="1139">
        <v>-29.252500000000001</v>
      </c>
      <c r="CZ4" s="1142">
        <f ca="1">DA4*(_xlfn.XLOOKUP(CZ$3,TabCalc[Ticker],TabCalc[M])+DB4)</f>
        <v>7.3499999999999942E-7</v>
      </c>
      <c r="DA4" s="1138">
        <v>9.9999999999999995E-7</v>
      </c>
      <c r="DB4" s="1139">
        <v>-5.19</v>
      </c>
      <c r="DC4" s="1142">
        <f ca="1">DD4*(_xlfn.XLOOKUP(DC$3,TabCalc[Ticker],TabCalc[M])+DE4)</f>
        <v>-3.5530014814814767E-7</v>
      </c>
      <c r="DD4" s="1138">
        <v>9.9999999999999995E-7</v>
      </c>
      <c r="DE4" s="1139">
        <v>-5.725200148148148</v>
      </c>
      <c r="DF4" s="1142">
        <f ca="1">DG4*(_xlfn.XLOOKUP(DF$3,TabCalc[Ticker],TabCalc[M])+DH4)</f>
        <v>-4.0634001999999988E-7</v>
      </c>
      <c r="DG4" s="1138">
        <v>9.9999999999999995E-7</v>
      </c>
      <c r="DH4" s="1139">
        <v>-1.0663400199999999</v>
      </c>
      <c r="DI4" s="1142">
        <f ca="1">DJ4*(_xlfn.XLOOKUP(DI$3,TabCalc[Ticker],TabCalc[M])+DK4)</f>
        <v>6.8365033333333327E-6</v>
      </c>
      <c r="DJ4" s="1138">
        <v>9.9999999999999995E-7</v>
      </c>
      <c r="DK4" s="1139">
        <v>-28.473496666666669</v>
      </c>
      <c r="DL4" s="1142">
        <f ca="1">DM4*(_xlfn.XLOOKUP(DL$3,TabCalc[Ticker],TabCalc[M])+DN4)</f>
        <v>1.4539999999999995E-5</v>
      </c>
      <c r="DM4" s="1138">
        <v>9.9999999999999995E-7</v>
      </c>
      <c r="DN4" s="1139">
        <v>-28.37</v>
      </c>
      <c r="DO4" s="1142">
        <f ca="1">DP4*(_xlfn.XLOOKUP(DO$3,TabCalc[Ticker],TabCalc[M])+DQ4)</f>
        <v>-2.4883013157894708E-5</v>
      </c>
      <c r="DP4" s="1138">
        <v>9.9999999999999995E-7</v>
      </c>
      <c r="DQ4" s="1139">
        <v>-240.53301315789471</v>
      </c>
      <c r="DR4" s="1142">
        <f ca="1">DS4*(_xlfn.XLOOKUP(DR$3,TabCalc[Ticker],TabCalc[M])+DT4)</f>
        <v>-2.1249344000000026E-6</v>
      </c>
      <c r="DS4" s="1138">
        <v>9.9999999999999995E-7</v>
      </c>
      <c r="DT4" s="1139">
        <v>-16.814934400000002</v>
      </c>
      <c r="DU4" s="1142">
        <f ca="1">DV4*(_xlfn.XLOOKUP(DU$3,TabCalc[Ticker],TabCalc[M])+DW4)</f>
        <v>-1.9736618124999999E-5</v>
      </c>
      <c r="DV4" s="1138">
        <v>9.9999999999999995E-7</v>
      </c>
      <c r="DW4" s="1139">
        <v>-29.196618125000001</v>
      </c>
      <c r="DX4" s="1142">
        <f ca="1">DY4*(_xlfn.XLOOKUP(DX$3,TabCalc[Ticker],TabCalc[M])+DZ4)</f>
        <v>9.3519999999999972E-5</v>
      </c>
      <c r="DY4" s="1138">
        <v>9.9999999999999995E-7</v>
      </c>
      <c r="DZ4" s="1139">
        <v>-336.51</v>
      </c>
      <c r="EA4" s="1142">
        <f ca="1">EB4*(_xlfn.XLOOKUP(EA$3,TabCalc[Ticker],TabCalc[M])+EC4)</f>
        <v>8.1897182083333375E-5</v>
      </c>
      <c r="EB4" s="1138">
        <v>9.9999999999999995E-7</v>
      </c>
      <c r="EC4" s="1139">
        <v>-203.95281791666665</v>
      </c>
      <c r="ED4" s="1142">
        <f ca="1">EE4*(_xlfn.XLOOKUP(ED$3,TabCalc[Ticker],TabCalc[M])+EF4)</f>
        <v>-1.309935E-5</v>
      </c>
      <c r="EE4" s="1138">
        <v>9.9999999999999995E-7</v>
      </c>
      <c r="EF4" s="1139">
        <v>-41.599350000000001</v>
      </c>
      <c r="EG4" s="1142">
        <f ca="1">EH4*(_xlfn.XLOOKUP(EG$3,TabCalc[Ticker],TabCalc[M])+EI4)</f>
        <v>-2.7350000000000001E-6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1.3414999999999998E-6</v>
      </c>
      <c r="EN4" s="1138">
        <v>9.9999999999999995E-7</v>
      </c>
      <c r="EO4" s="1139">
        <v>-26.074999999999999</v>
      </c>
      <c r="EP4" s="1142">
        <f ca="1">EQ4*(_xlfn.XLOOKUP(EP$3,TabCalc[Ticker],TabCalc[M])+ER4)</f>
        <v>-1.2161111111111111E-6</v>
      </c>
      <c r="EQ4" s="1138">
        <v>9.9999999999999995E-7</v>
      </c>
      <c r="ER4" s="1139">
        <v>-59.516111111111108</v>
      </c>
      <c r="ES4" s="1142">
        <f ca="1">ET4*(_xlfn.XLOOKUP(ES$3,TabCalc[Ticker],TabCalc[M])+EU4)</f>
        <v>6.1499999999999845E-7</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4.4599999999999937E-6</v>
      </c>
      <c r="EZ4" s="1138">
        <v>9.9999999999999995E-7</v>
      </c>
      <c r="FA4" s="1139">
        <v>-112.93</v>
      </c>
      <c r="FB4" s="1142">
        <f ca="1">FC4*(_xlfn.XLOOKUP(FB$3,TabCalc[Ticker],TabCalc[M])+FD4)</f>
        <v>-1.6683000000000002E-6</v>
      </c>
      <c r="FC4" s="1138">
        <v>9.9999999999999995E-7</v>
      </c>
      <c r="FD4" s="1139">
        <v>-8.2667999999999999</v>
      </c>
      <c r="FE4" s="1142">
        <f ca="1">FF4*(_xlfn.XLOOKUP(FE$3,TabCalc[Ticker],TabCalc[M])+FG4)</f>
        <v>-4.8420751895841578E-7</v>
      </c>
      <c r="FF4" s="1138">
        <v>9.9999999999999995E-7</v>
      </c>
      <c r="FG4" s="1139">
        <v>-1.2642075189584159</v>
      </c>
      <c r="FH4" s="1142">
        <f ca="1">FI4*(_xlfn.XLOOKUP(FH$3,TabCalc[Ticker],TabCalc[M])+FJ4)</f>
        <v>-2.2500000000000007E-7</v>
      </c>
      <c r="FI4" s="1138">
        <v>9.9999999999999995E-7</v>
      </c>
      <c r="FJ4" s="1139">
        <v>-2.4500000000000002</v>
      </c>
      <c r="FK4" s="1142">
        <f ca="1">FL4*(_xlfn.XLOOKUP(FK$3,TabCalc[Ticker],TabCalc[M])+FM4)</f>
        <v>-1.0297500000000003E-5</v>
      </c>
      <c r="FL4" s="1138">
        <v>9.9999999999999995E-7</v>
      </c>
      <c r="FM4" s="1139">
        <v>-33.637500000000003</v>
      </c>
      <c r="FN4" s="1142">
        <f ca="1">FO4*(_xlfn.XLOOKUP(FN$3,TabCalc[Ticker],TabCalc[M])+FP4)</f>
        <v>5.045E-6</v>
      </c>
      <c r="FO4" s="1138">
        <v>9.9999999999999995E-7</v>
      </c>
      <c r="FP4" s="1139">
        <v>-11.06</v>
      </c>
      <c r="FQ4" s="1142">
        <f ca="1">FR4*(_xlfn.XLOOKUP(FQ$3,TabCalc[Ticker],TabCalc[M])+FS4)</f>
        <v>2.5034777777777783E-6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-1.0207142857142841E-6</v>
      </c>
      <c r="FX4" s="1138">
        <v>9.9999999999999995E-7</v>
      </c>
      <c r="FY4" s="1139">
        <v>-55.660714285714285</v>
      </c>
      <c r="FZ4" s="1142">
        <f ca="1">GA4*(_xlfn.XLOOKUP(FZ$3,TabCalc[Ticker],TabCalc[M])+GB4)</f>
        <v>2.0501515151515137E-6</v>
      </c>
      <c r="GA4" s="1138">
        <v>9.9999999999999995E-7</v>
      </c>
      <c r="GB4" s="1139">
        <v>-12.114848484848485</v>
      </c>
      <c r="GC4" s="1142">
        <f ca="1">GD4*(_xlfn.XLOOKUP(GC$3,TabCalc[Ticker],TabCalc[M])+GE4)</f>
        <v>9.8149999999999967E-6</v>
      </c>
      <c r="GD4" s="1138">
        <v>9.9999999999999995E-7</v>
      </c>
      <c r="GE4" s="1139">
        <v>-33.094999999999999</v>
      </c>
      <c r="GF4" s="1142">
        <f ca="1">GG4*(_xlfn.XLOOKUP(GF$3,TabCalc[Ticker],TabCalc[M])+GH4)</f>
        <v>-3.9619027431421441E-5</v>
      </c>
      <c r="GG4" s="1138">
        <v>9.9999999999999995E-7</v>
      </c>
      <c r="GH4" s="1139">
        <v>-255.26902743142145</v>
      </c>
      <c r="GI4" s="1142">
        <f ca="1">GJ4*(_xlfn.XLOOKUP(GI$3,TabCalc[Ticker],TabCalc[M])+GK4)</f>
        <v>-1.3440633928571429E-5</v>
      </c>
      <c r="GJ4" s="1138">
        <v>9.9999999999999995E-7</v>
      </c>
      <c r="GK4" s="1139">
        <v>-41.94063392857143</v>
      </c>
      <c r="GL4" s="1142">
        <f ca="1">GM4*(_xlfn.XLOOKUP(GL$3,TabCalc[Ticker],TabCalc[M])+GN4)</f>
        <v>6.8142830857142878E-5</v>
      </c>
      <c r="GM4" s="1138">
        <v>9.9999999999999995E-7</v>
      </c>
      <c r="GN4" s="1139">
        <v>-199.85416914285713</v>
      </c>
      <c r="GO4" s="1142">
        <f ca="1">GP4*(_xlfn.XLOOKUP(GO$3,TabCalc[Ticker],TabCalc[M])+GQ4)</f>
        <v>3.9860000000000015E-5</v>
      </c>
      <c r="GP4" s="1138">
        <v>9.9999999999999995E-7</v>
      </c>
      <c r="GQ4" s="1139">
        <v>-204.7</v>
      </c>
      <c r="GR4" s="1142">
        <f ca="1">GS4*(_xlfn.XLOOKUP(GR$3,TabCalc[Ticker],TabCalc[M])+GT4)</f>
        <v>2.1642704799999988E-4</v>
      </c>
      <c r="GS4" s="1138">
        <v>9.9999999999999995E-7</v>
      </c>
      <c r="GT4" s="1139">
        <v>-654.37295200000005</v>
      </c>
      <c r="GU4" s="1142">
        <f ca="1">GV4*(_xlfn.XLOOKUP(GU$3,TabCalc[Ticker],TabCalc[M])+GW4)</f>
        <v>-1.0581954545454546E-6</v>
      </c>
      <c r="GV4" s="1138">
        <v>9.9999999999999995E-7</v>
      </c>
      <c r="GW4" s="1139">
        <v>-3.2831954545454547</v>
      </c>
      <c r="GX4" s="1142">
        <f ca="1">GY4*(_xlfn.XLOOKUP(GX$3,TabCalc[Ticker],TabCalc[M])+GZ4)</f>
        <v>1.8991666666666162E-7</v>
      </c>
      <c r="GY4" s="1138">
        <v>9.9999999999999995E-7</v>
      </c>
      <c r="GZ4" s="1139">
        <v>-110.54008333333334</v>
      </c>
      <c r="HA4" s="1142">
        <f ca="1">HB4*(_xlfn.XLOOKUP(HA$3,TabCalc[Ticker],TabCalc[M])+HC4)</f>
        <v>7.0659999999999991E-5</v>
      </c>
      <c r="HB4" s="1138">
        <v>9.9999999999999995E-7</v>
      </c>
      <c r="HC4" s="1139"/>
      <c r="HD4" s="1142">
        <f ca="1">HE4*(_xlfn.XLOOKUP(HD$3,TabCalc[Ticker],TabCalc[M])+HF4)</f>
        <v>3.6619999999999996E-4</v>
      </c>
      <c r="HE4" s="1138">
        <v>9.9999999999999995E-7</v>
      </c>
      <c r="HF4" s="1139"/>
      <c r="HG4" s="1142">
        <f ca="1">HH4*(_xlfn.XLOOKUP(HG$3,TabCalc[Ticker],TabCalc[M])+HI4)</f>
        <v>-3.7209115100000002E-5</v>
      </c>
      <c r="HH4" s="1138">
        <v>9.9999999999999995E-7</v>
      </c>
      <c r="HI4" s="1139">
        <v>-61.734115100000004</v>
      </c>
      <c r="HJ4" s="1142">
        <f ca="1">HK4*(_xlfn.XLOOKUP(HJ$3,TabCalc[Ticker],TabCalc[M])+HL4)</f>
        <v>-6.0688333333333315E-7</v>
      </c>
      <c r="HK4" s="1138">
        <v>9.9999999999999995E-7</v>
      </c>
      <c r="HL4" s="1139">
        <v>-2.1967833333333333</v>
      </c>
      <c r="HM4" s="1142">
        <f ca="1">HN4*(_xlfn.XLOOKUP(HM$3,TabCalc[Ticker],TabCalc[M])+HO4)</f>
        <v>1.0414411764705882E-6</v>
      </c>
      <c r="HN4" s="1138">
        <v>9.9999999999999995E-7</v>
      </c>
      <c r="HO4" s="1139">
        <v>-14.890558823529412</v>
      </c>
      <c r="HP4" s="1142">
        <f ca="1">HQ4*(_xlfn.XLOOKUP(HP$3,TabCalc[Ticker],TabCalc[M])+HR4)</f>
        <v>1.0426666666666619E-5</v>
      </c>
      <c r="HQ4" s="1138">
        <v>9.9999999999999995E-7</v>
      </c>
      <c r="HR4" s="1139">
        <v>-460.97333333333336</v>
      </c>
      <c r="HS4" s="1142">
        <f ca="1">HT4*(_xlfn.XLOOKUP(HS$3,TabCalc[Ticker],TabCalc[M])+HU4)</f>
        <v>1.3205E-5</v>
      </c>
      <c r="HT4" s="1138">
        <v>9.9999999999999995E-7</v>
      </c>
      <c r="HU4" s="1139"/>
      <c r="HV4" s="1142">
        <f ca="1">HW4*(_xlfn.XLOOKUP(HV$3,TabCalc[Ticker],TabCalc[M])+HX4)</f>
        <v>5.4639999999999999E-5</v>
      </c>
      <c r="HW4" s="1141">
        <v>9.9999999999999995E-7</v>
      </c>
      <c r="HX4" s="1139"/>
      <c r="HY4" s="1142">
        <f ca="1">HZ4*(_xlfn.XLOOKUP(HY$3,TabCalc[Ticker],TabCalc[M])+IA4)</f>
        <v>-2.6317777777777763E-5</v>
      </c>
      <c r="HZ4" s="1138">
        <v>9.9999999999999995E-7</v>
      </c>
      <c r="IA4" s="1139">
        <v>-180.93777777777777</v>
      </c>
      <c r="IB4" s="1142">
        <f ca="1">IC4*(_xlfn.XLOOKUP(IB$3,TabCalc[Ticker],TabCalc[M])+ID4)</f>
        <v>7.8535499999999995E-4</v>
      </c>
      <c r="IC4" s="1138">
        <v>9.9999999999999995E-7</v>
      </c>
      <c r="ID4" s="1139"/>
      <c r="IE4" s="1142">
        <f ca="1">IF4*(_xlfn.XLOOKUP(IE$3,TabCalc[Ticker],TabCalc[M])+IG4)</f>
        <v>-2.0432332130429178E-5</v>
      </c>
      <c r="IF4" s="1138">
        <v>9.9999999999999995E-7</v>
      </c>
      <c r="IG4" s="1139">
        <v>-21.677332130429178</v>
      </c>
      <c r="IH4" s="1142">
        <f ca="1">II4*(_xlfn.XLOOKUP(IH$3,TabCalc[Ticker],TabCalc[M])+IJ4)</f>
        <v>1.6676000000000037E-6</v>
      </c>
      <c r="II4" s="1138">
        <v>9.9999999999999995E-7</v>
      </c>
      <c r="IJ4" s="1139">
        <v>-30.697399999999998</v>
      </c>
      <c r="IK4" s="1142">
        <f ca="1">IL4*(_xlfn.XLOOKUP(IK$3,TabCalc[Ticker],TabCalc[M])+IM4)</f>
        <v>-5.0500000000000677E-6</v>
      </c>
      <c r="IL4" s="1138">
        <v>9.9999999999999995E-7</v>
      </c>
      <c r="IM4" s="1139">
        <v>-556.35</v>
      </c>
      <c r="IN4" s="1142">
        <f ca="1">IO4*(_xlfn.XLOOKUP(IN$3,TabCalc[Ticker],TabCalc[M])+IP4)</f>
        <v>-9.8321538461538349E-7</v>
      </c>
      <c r="IO4" s="1138">
        <v>9.9999999999999995E-7</v>
      </c>
      <c r="IP4" s="1139">
        <v>-8.3922153846153833</v>
      </c>
      <c r="IQ4" s="1142">
        <f ca="1">IR4*(_xlfn.XLOOKUP(IQ$3,TabCalc[Ticker],TabCalc[M]))</f>
        <v>1.2644999999999998E-4</v>
      </c>
      <c r="IR4" s="1138">
        <v>9.9999999999999995E-7</v>
      </c>
      <c r="IS4" s="1139"/>
      <c r="IT4" s="1142">
        <f ca="1">IU4*(_xlfn.XLOOKUP(IT$3,TabCalc[Ticker],TabCalc[M])+IV4)</f>
        <v>4.199999999999999E-7</v>
      </c>
      <c r="IU4" s="1138">
        <v>9.9999999999999995E-7</v>
      </c>
      <c r="IV4" s="1139">
        <v>-13.744999999999999</v>
      </c>
      <c r="IW4" s="1142">
        <f ca="1">IX4*(_xlfn.XLOOKUP(IW$3,TabCalc[Ticker],TabCalc[M])+IY4)</f>
        <v>-1.3145174999999994E-5</v>
      </c>
      <c r="IX4" s="1138">
        <v>9.9999999999999995E-7</v>
      </c>
      <c r="IY4" s="1139">
        <v>-54.334474999999998</v>
      </c>
      <c r="IZ4" s="1142">
        <f ca="1">JA4*(_xlfn.XLOOKUP(IZ$3,TabCalc[Ticker],TabCalc[M])+JB4)</f>
        <v>-5.6500000000000126E-7</v>
      </c>
      <c r="JA4" s="1138">
        <v>9.9999999999999995E-7</v>
      </c>
      <c r="JB4" s="1139">
        <v>-24.94</v>
      </c>
      <c r="JC4" s="1142">
        <f ca="1">JD4*(_xlfn.XLOOKUP(JC$3,TabCalc[Ticker],TabCalc[M])+JE4)</f>
        <v>4.5489583333333346E-7</v>
      </c>
      <c r="JD4" s="1138">
        <v>9.9999999999999995E-7</v>
      </c>
      <c r="JE4" s="1139">
        <v>-3.5051041666666665</v>
      </c>
      <c r="JF4" s="1142">
        <f ca="1">JG4*(_xlfn.XLOOKUP(JF$3,TabCalc[Ticker],TabCalc[M])+JH4)</f>
        <v>3.7429999999999999E-5</v>
      </c>
      <c r="JG4" s="1138">
        <v>9.9999999999999995E-7</v>
      </c>
      <c r="JH4" s="1139"/>
      <c r="JI4" s="1142">
        <f ca="1">JJ4*(_xlfn.XLOOKUP(JI$3,TabCalc[Ticker],TabCalc[M])+JK4)</f>
        <v>-1.1420000000000001E-5</v>
      </c>
      <c r="JJ4" s="1138">
        <v>9.9999999999999995E-7</v>
      </c>
      <c r="JK4" s="1139">
        <v>-76.94</v>
      </c>
      <c r="JL4" s="1142">
        <f ca="1">JM4*(_xlfn.XLOOKUP(JL$3,TabCalc[Ticker],TabCalc[M])+JN4)</f>
        <v>4.4363743333333331E-5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4.8339999999999998E-6</v>
      </c>
      <c r="JS4" s="1143">
        <v>9.9999999999999995E-7</v>
      </c>
      <c r="JT4" s="1139">
        <v>-5.34</v>
      </c>
      <c r="JU4" s="1142">
        <f ca="1">JV4*(_xlfn.XLOOKUP(JU$3,TabCalc[Ticker],TabCalc[M])+JW4)</f>
        <v>1.4705999999999994E-4</v>
      </c>
      <c r="JV4" s="83">
        <v>9.9999999999999995E-7</v>
      </c>
      <c r="JW4" s="1139">
        <v>-723.74</v>
      </c>
      <c r="JX4" s="1142">
        <f ca="1">JY4*(_xlfn.XLOOKUP(JX$3,TabCalc[Ticker],TabCalc[M])+JZ4)</f>
        <v>1.7679145000000016E-6</v>
      </c>
      <c r="JY4" s="1138">
        <v>9.9999999999999995E-7</v>
      </c>
      <c r="JZ4" s="1139">
        <v>-14.337085499999999</v>
      </c>
    </row>
    <row r="5" spans="1:301" ht="22" customHeight="1" x14ac:dyDescent="0.3">
      <c r="A5">
        <v>2</v>
      </c>
      <c r="B5" s="1142">
        <f ca="1">C5*(_xlfn.XLOOKUP(B$3,TabCalc[Ticker],TabCalc[M])+D5)</f>
        <v>36123.500000000007</v>
      </c>
      <c r="C5" s="1145">
        <v>500</v>
      </c>
      <c r="D5" s="1139">
        <v>-195.75</v>
      </c>
      <c r="E5" s="1142">
        <f ca="1">F5*(_xlfn.XLOOKUP(E$3,TabCalc[Ticker],TabCalc[M])+G5)</f>
        <v>2870.0000000000009</v>
      </c>
      <c r="F5" s="1145">
        <v>2800</v>
      </c>
      <c r="G5" s="1139">
        <v>-13.02</v>
      </c>
      <c r="H5" s="1142">
        <f ca="1">I5*(_xlfn.XLOOKUP(H$3,TabCalc[Ticker],TabCalc[M])+J5)</f>
        <v>101437.0000000001</v>
      </c>
      <c r="I5" s="1145">
        <v>23590</v>
      </c>
      <c r="J5" s="1139">
        <v>-40.4</v>
      </c>
      <c r="K5" s="1142">
        <f ca="1">L5*(_xlfn.XLOOKUP(K$3,TabCalc[Ticker],TabCalc[M])+M5)</f>
        <v>14201.999999999998</v>
      </c>
      <c r="L5" s="1145">
        <v>200</v>
      </c>
      <c r="M5" s="1139">
        <v>-173.55</v>
      </c>
      <c r="N5" s="1142">
        <f ca="1">O5*(_xlfn.XLOOKUP(N$3,TabCalc[Ticker],TabCalc[M])+P5)</f>
        <v>-2250.0000000000005</v>
      </c>
      <c r="O5" s="1145">
        <v>15000</v>
      </c>
      <c r="P5" s="1139">
        <v>-0.93</v>
      </c>
      <c r="Q5" s="1142">
        <f ca="1">R5*(_xlfn.XLOOKUP(Q$3,TabCalc[Ticker],TabCalc[M])+S5)</f>
        <v>135750</v>
      </c>
      <c r="R5" s="1145">
        <v>500</v>
      </c>
      <c r="S5" s="1139">
        <v>-599.29999999999995</v>
      </c>
      <c r="T5" s="1142">
        <f ca="1">U5*(_xlfn.XLOOKUP(T$3,TabCalc[Ticker],TabCalc[M])+V5)</f>
        <v>27352.241673</v>
      </c>
      <c r="U5" s="1145">
        <v>190</v>
      </c>
      <c r="V5" s="1139">
        <v>-203.42583329999999</v>
      </c>
      <c r="W5" s="1142">
        <f ca="1">X5*(_xlfn.XLOOKUP(W$3,TabCalc[Ticker],TabCalc[M])+Y5)</f>
        <v>7357.5000000000018</v>
      </c>
      <c r="X5" s="1145">
        <v>500</v>
      </c>
      <c r="Y5" s="1139">
        <v>-69.84</v>
      </c>
      <c r="Z5" s="1142">
        <f ca="1">AA5*(_xlfn.XLOOKUP(Z$3,TabCalc[Ticker],TabCalc[M])+AB5)</f>
        <v>16549.999999999996</v>
      </c>
      <c r="AA5" s="1145">
        <v>10000</v>
      </c>
      <c r="AB5" s="1139">
        <v>-1.83</v>
      </c>
      <c r="AC5" s="1142">
        <f ca="1">AD5*(_xlfn.XLOOKUP(AC$3,TabCalc[Ticker],TabCalc[M])+AE5)</f>
        <v>-127776.24999999999</v>
      </c>
      <c r="AD5" s="1145">
        <v>12500</v>
      </c>
      <c r="AE5" s="1139">
        <v>-12.7196</v>
      </c>
      <c r="AF5" s="1142">
        <f ca="1">AG5*(_xlfn.XLOOKUP(AF$3,TabCalc[Ticker],TabCalc[M])+AH5)</f>
        <v>188.84999999999997</v>
      </c>
      <c r="AG5" s="1145">
        <v>5</v>
      </c>
      <c r="AH5" s="1139">
        <v>-62.75</v>
      </c>
      <c r="AI5" s="1142">
        <f ca="1">AJ5*(_xlfn.XLOOKUP(AI$3,TabCalc[Ticker],TabCalc[M])+AK5)</f>
        <v>3724.9999999999945</v>
      </c>
      <c r="AJ5" s="1145">
        <v>1000</v>
      </c>
      <c r="AK5" s="1139">
        <v>-67.2</v>
      </c>
      <c r="AL5" s="1142">
        <f ca="1">AM5*(_xlfn.XLOOKUP(AL$3,TabCalc[Ticker],TabCalc[M])+AN5)</f>
        <v>22.783810000000003</v>
      </c>
      <c r="AM5" s="1145">
        <v>1</v>
      </c>
      <c r="AN5" s="1139">
        <v>-56.056190000000001</v>
      </c>
      <c r="AO5" s="1142">
        <f ca="1">AP5*(_xlfn.XLOOKUP(AO$3,TabCalc[Ticker],TabCalc[M])+AQ5)</f>
        <v>6300.0000000000036</v>
      </c>
      <c r="AP5" s="1145">
        <v>20000</v>
      </c>
      <c r="AQ5" s="1139">
        <v>-1.91</v>
      </c>
      <c r="AR5" s="1142">
        <f ca="1">AS5*(_xlfn.XLOOKUP(AR$3,TabCalc[Ticker],TabCalc[M])+AT5)</f>
        <v>290.00000000000057</v>
      </c>
      <c r="AS5" s="1145">
        <v>200</v>
      </c>
      <c r="AT5" s="1139">
        <v>-109.28</v>
      </c>
      <c r="AU5" s="1142">
        <f ca="1">AV5*(_xlfn.XLOOKUP(AU$3,TabCalc[Ticker],TabCalc[M])+AW5)</f>
        <v>-6600.0000000000018</v>
      </c>
      <c r="AV5" s="1145">
        <v>2000</v>
      </c>
      <c r="AW5" s="1139">
        <v>-26.64</v>
      </c>
      <c r="AX5" s="1142">
        <f ca="1">AY5*(_xlfn.XLOOKUP(AX$3,TabCalc[Ticker],TabCalc[M])+AZ5)</f>
        <v>7431.9999999999936</v>
      </c>
      <c r="AY5" s="1145">
        <v>1600</v>
      </c>
      <c r="AZ5" s="1139">
        <v>-118.68</v>
      </c>
      <c r="BA5" s="1142">
        <f ca="1">BB5*(_xlfn.XLOOKUP(BA$3,TabCalc[Ticker],TabCalc[M])+BC5)</f>
        <v>-5219.9999999999991</v>
      </c>
      <c r="BB5" s="1145">
        <v>4000</v>
      </c>
      <c r="BC5" s="1139">
        <v>-14.48</v>
      </c>
      <c r="BD5" s="1142">
        <f ca="1">BE5*(_xlfn.XLOOKUP(BD$3,TabCalc[Ticker],TabCalc[M])+BF5)</f>
        <v>728.75000000000057</v>
      </c>
      <c r="BE5" s="1145">
        <v>550</v>
      </c>
      <c r="BF5" s="1139">
        <v>-14.78</v>
      </c>
      <c r="BG5" s="1142">
        <f ca="1">BH5*(_xlfn.XLOOKUP(BG$3,TabCalc[Ticker],TabCalc[M])+BI5)</f>
        <v>-18225.599999999999</v>
      </c>
      <c r="BH5" s="1145">
        <v>12000</v>
      </c>
      <c r="BI5" s="1139">
        <v>-1.72</v>
      </c>
      <c r="BJ5" s="1142">
        <f ca="1">BK5*(_xlfn.XLOOKUP(BJ$3,TabCalc[Ticker],TabCalc[M])+BL5)</f>
        <v>239.83999999999995</v>
      </c>
      <c r="BK5" s="1145">
        <v>10</v>
      </c>
      <c r="BL5" s="1139">
        <v>-46.676000000000002</v>
      </c>
      <c r="BM5" s="1142">
        <f ca="1">BN5*(_xlfn.XLOOKUP(BM$3,TabCalc[Ticker],TabCalc[M])+BO5)</f>
        <v>15279.999999999998</v>
      </c>
      <c r="BN5" s="1145">
        <v>2000</v>
      </c>
      <c r="BO5" s="1139">
        <v>-15.76</v>
      </c>
      <c r="BP5" s="1142">
        <f ca="1">BQ5*(_xlfn.XLOOKUP(BP$3,TabCalc[Ticker],TabCalc[M])+BR5)</f>
        <v>1900.0000000000057</v>
      </c>
      <c r="BQ5" s="1145">
        <v>4000</v>
      </c>
      <c r="BR5" s="1139">
        <v>-25.74</v>
      </c>
      <c r="BS5" s="1142">
        <f ca="1">BT5*(_xlfn.XLOOKUP(BS$3,TabCalc[Ticker],TabCalc[M])+BU5)</f>
        <v>9633999.9999999981</v>
      </c>
      <c r="BT5" s="1145">
        <v>50000</v>
      </c>
      <c r="BU5" s="1139">
        <v>-173.52</v>
      </c>
      <c r="BV5" s="1142">
        <f ca="1">BW5*(_xlfn.XLOOKUP(BV$3,TabCalc[Ticker],TabCalc[M])+BX5)</f>
        <v>2430.0000000000068</v>
      </c>
      <c r="BW5" s="1145">
        <v>2000</v>
      </c>
      <c r="BX5" s="1139">
        <v>-63.69</v>
      </c>
      <c r="BY5" s="1142">
        <f ca="1">BZ5*(_xlfn.XLOOKUP(BY$3,TabCalc[Ticker],TabCalc[M])+CA5)</f>
        <v>0</v>
      </c>
      <c r="BZ5" s="1145"/>
      <c r="CA5" s="1139"/>
      <c r="CB5" s="1142">
        <f ca="1">CC5*(_xlfn.XLOOKUP(CB$3,TabCalc[Ticker],TabCalc[M])+CD5)</f>
        <v>54.166999999999994</v>
      </c>
      <c r="CC5" s="1145">
        <v>10</v>
      </c>
      <c r="CD5" s="1139">
        <v>-5.0682999999999998</v>
      </c>
      <c r="CE5" s="1142">
        <f ca="1">CF5*(_xlfn.XLOOKUP(CE$3,TabCalc[Ticker],TabCalc[M])+CG5)</f>
        <v>-34833.500000000007</v>
      </c>
      <c r="CF5" s="1145">
        <v>2300</v>
      </c>
      <c r="CG5" s="1139">
        <v>-39.67</v>
      </c>
      <c r="CH5" s="1142">
        <f ca="1">CI5*(_xlfn.XLOOKUP(CH$3,TabCalc[Ticker],TabCalc[M])+CJ5)</f>
        <v>999982.5</v>
      </c>
      <c r="CI5" s="1145">
        <v>2550</v>
      </c>
      <c r="CJ5" s="1139">
        <v>-105.48</v>
      </c>
      <c r="CK5" s="1142">
        <f ca="1">CL5*(_xlfn.XLOOKUP(CK$3,TabCalc[Ticker],TabCalc[M])+CM5)</f>
        <v>5083.8227999999963</v>
      </c>
      <c r="CL5" s="1145">
        <v>400</v>
      </c>
      <c r="CM5" s="1139">
        <v>-71.000443000000004</v>
      </c>
      <c r="CN5" s="1142">
        <f ca="1">CO5*(_xlfn.XLOOKUP(CN$3,TabCalc[Ticker],TabCalc[M])+CP5)</f>
        <v>138509.99999999997</v>
      </c>
      <c r="CO5" s="1145">
        <v>3000</v>
      </c>
      <c r="CP5" s="1139">
        <v>-37.18</v>
      </c>
      <c r="CQ5" s="1142">
        <f ca="1">CR5*(_xlfn.XLOOKUP(CQ$3,TabCalc[Ticker],TabCalc[M])+CS5)</f>
        <v>1184.9999999999454</v>
      </c>
      <c r="CR5" s="1145">
        <v>500</v>
      </c>
      <c r="CS5" s="1139">
        <v>-1096.8800000000001</v>
      </c>
      <c r="CT5" s="1142">
        <f ca="1">CU5*(_xlfn.XLOOKUP(CT$3,TabCalc[Ticker],TabCalc[M])+CV5)</f>
        <v>-5875.0000000000009</v>
      </c>
      <c r="CU5" s="1145">
        <v>2500</v>
      </c>
      <c r="CV5" s="1139">
        <v>-5.4</v>
      </c>
      <c r="CW5" s="1142">
        <f ca="1">CX5*(_xlfn.XLOOKUP(CW$3,TabCalc[Ticker],TabCalc[M])+CY5)</f>
        <v>5879.9500000000007</v>
      </c>
      <c r="CX5" s="1145">
        <v>500</v>
      </c>
      <c r="CY5" s="1139">
        <v>-22.96</v>
      </c>
      <c r="CZ5" s="1142">
        <f ca="1">DA5*(_xlfn.XLOOKUP(CZ$3,TabCalc[Ticker],TabCalc[M])+DB5)</f>
        <v>2939.9999999999977</v>
      </c>
      <c r="DA5" s="1145">
        <v>4000</v>
      </c>
      <c r="DB5" s="1139">
        <v>-5.19</v>
      </c>
      <c r="DC5" s="1142">
        <f ca="1">DD5*(_xlfn.XLOOKUP(DC$3,TabCalc[Ticker],TabCalc[M])+DE5)</f>
        <v>9143.5000000000018</v>
      </c>
      <c r="DD5" s="1145">
        <v>5000</v>
      </c>
      <c r="DE5" s="1139">
        <v>-3.5411999999999999</v>
      </c>
      <c r="DF5" s="1142">
        <f ca="1">DG5*(_xlfn.XLOOKUP(DF$3,TabCalc[Ticker],TabCalc[M])+DH5)</f>
        <v>-571.13999999999987</v>
      </c>
      <c r="DG5" s="1145">
        <v>3006</v>
      </c>
      <c r="DH5" s="1139">
        <v>-0.85</v>
      </c>
      <c r="DI5" s="1142">
        <f ca="1">DJ5*(_xlfn.XLOOKUP(DI$3,TabCalc[Ticker],TabCalc[M])+DK5)</f>
        <v>6980.0000000000036</v>
      </c>
      <c r="DJ5" s="1145">
        <v>1000</v>
      </c>
      <c r="DK5" s="1139">
        <v>-28.33</v>
      </c>
      <c r="DL5" s="1142">
        <f ca="1">DM5*(_xlfn.XLOOKUP(DL$3,TabCalc[Ticker],TabCalc[M])+DN5)</f>
        <v>726.99999999999977</v>
      </c>
      <c r="DM5" s="1145">
        <v>50</v>
      </c>
      <c r="DN5" s="1139">
        <v>-28.37</v>
      </c>
      <c r="DO5" s="1142">
        <f ca="1">DP5*(_xlfn.XLOOKUP(DO$3,TabCalc[Ticker],TabCalc[M])+DQ5)</f>
        <v>-11900.000000000005</v>
      </c>
      <c r="DP5" s="1145">
        <v>1000</v>
      </c>
      <c r="DQ5" s="1139">
        <v>-227.55</v>
      </c>
      <c r="DR5" s="1142">
        <f ca="1">DS5*(_xlfn.XLOOKUP(DR$3,TabCalc[Ticker],TabCalc[M])+DT5)</f>
        <v>2086.7999999999965</v>
      </c>
      <c r="DS5" s="1145">
        <v>4000</v>
      </c>
      <c r="DT5" s="1139">
        <v>-14.1683</v>
      </c>
      <c r="DU5" s="1142">
        <f ca="1">DV5*(_xlfn.XLOOKUP(DU$3,TabCalc[Ticker],TabCalc[M])+DW5)</f>
        <v>1374.0000000000023</v>
      </c>
      <c r="DV5" s="1145">
        <v>4000</v>
      </c>
      <c r="DW5" s="1139">
        <v>-9.1165000000000003</v>
      </c>
      <c r="DX5" s="1142">
        <f ca="1">DY5*(_xlfn.XLOOKUP(DX$3,TabCalc[Ticker],TabCalc[M])+DZ5)</f>
        <v>93.519999999999982</v>
      </c>
      <c r="DY5" s="1145">
        <v>1</v>
      </c>
      <c r="DZ5" s="1139">
        <v>-336.51</v>
      </c>
      <c r="EA5" s="1142">
        <f ca="1">EB5*(_xlfn.XLOOKUP(EA$3,TabCalc[Ticker],TabCalc[M])+EC5)</f>
        <v>133530.00000000003</v>
      </c>
      <c r="EB5" s="1145">
        <v>1000</v>
      </c>
      <c r="EC5" s="1139">
        <v>-152.32</v>
      </c>
      <c r="ED5" s="1142">
        <f ca="1">EE5*(_xlfn.XLOOKUP(ED$3,TabCalc[Ticker],TabCalc[M])+EF5)</f>
        <v>-3059.244999999999</v>
      </c>
      <c r="EE5" s="1145">
        <v>350</v>
      </c>
      <c r="EF5" s="1139">
        <v>-37.240699999999997</v>
      </c>
      <c r="EG5" s="1142">
        <f ca="1">EH5*(_xlfn.XLOOKUP(EG$3,TabCalc[Ticker],TabCalc[M])+EI5)</f>
        <v>-19787.725000000002</v>
      </c>
      <c r="EH5" s="1145">
        <v>7235</v>
      </c>
      <c r="EI5" s="1139">
        <v>-9.3000000000000007</v>
      </c>
      <c r="EJ5" s="1142" t="e">
        <f ca="1">EK5*(_xlfn.XLOOKUP(EJ$3,TabCalc[Ticker],TabCalc[M])+EL5)</f>
        <v>#N/A</v>
      </c>
      <c r="EK5" s="1145">
        <v>240</v>
      </c>
      <c r="EL5" s="1139">
        <v>-109.65132</v>
      </c>
      <c r="EM5" s="1142">
        <f ca="1">EN5*(_xlfn.XLOOKUP(EM$3,TabCalc[Ticker],TabCalc[M])+EO5)</f>
        <v>4899.7500000000009</v>
      </c>
      <c r="EN5" s="1145">
        <v>1500</v>
      </c>
      <c r="EO5" s="1139">
        <v>-24.15</v>
      </c>
      <c r="EP5" s="1142">
        <f ca="1">EQ5*(_xlfn.XLOOKUP(EP$3,TabCalc[Ticker],TabCalc[M])+ER5)</f>
        <v>-1000</v>
      </c>
      <c r="EQ5" s="1145">
        <v>2000</v>
      </c>
      <c r="ER5" s="1139">
        <v>-58.8</v>
      </c>
      <c r="ES5" s="1142">
        <f ca="1">ET5*(_xlfn.XLOOKUP(ES$3,TabCalc[Ticker],TabCalc[M])+EU5)</f>
        <v>3074.9999999999923</v>
      </c>
      <c r="ET5" s="1145">
        <v>5000</v>
      </c>
      <c r="EU5" s="1139">
        <v>-9.4600000000000009</v>
      </c>
      <c r="EV5" s="1142">
        <f ca="1">EW5*(_xlfn.XLOOKUP(EV$3,TabCalc[Ticker],TabCalc[M])+EX5)</f>
        <v>5760.2999999999993</v>
      </c>
      <c r="EW5" s="1145">
        <v>3000</v>
      </c>
      <c r="EX5" s="1146">
        <v>-10.059900000000001</v>
      </c>
      <c r="EY5" s="1142">
        <f ca="1">EZ5*(_xlfn.XLOOKUP(EY$3,TabCalc[Ticker],TabCalc[M])+FA5)</f>
        <v>2259.9999999999995</v>
      </c>
      <c r="EZ5" s="1145">
        <v>200</v>
      </c>
      <c r="FA5" s="1146">
        <v>-106.09</v>
      </c>
      <c r="FB5" s="1142">
        <f ca="1">FC5*(_xlfn.XLOOKUP(FB$3,TabCalc[Ticker],TabCalc[M])+FD5)</f>
        <v>-307.50000000000279</v>
      </c>
      <c r="FC5" s="1145">
        <v>5000</v>
      </c>
      <c r="FD5" s="1146">
        <v>-6.66</v>
      </c>
      <c r="FE5" s="1142">
        <f ca="1">FF5*(_xlfn.XLOOKUP(FE$3,TabCalc[Ticker],TabCalc[M])+FG5)</f>
        <v>-3565.7300000000005</v>
      </c>
      <c r="FF5" s="1145">
        <v>20000</v>
      </c>
      <c r="FG5" s="1139">
        <v>-0.95828650000000004</v>
      </c>
      <c r="FH5" s="1142">
        <f ca="1">FI5*(_xlfn.XLOOKUP(FH$3,TabCalc[Ticker],TabCalc[M])+FJ5)</f>
        <v>-2250.0000000000009</v>
      </c>
      <c r="FI5" s="1145">
        <v>10000</v>
      </c>
      <c r="FJ5" s="1139">
        <v>-2.4500000000000002</v>
      </c>
      <c r="FK5" s="1142">
        <f ca="1">FL5*(_xlfn.XLOOKUP(FK$3,TabCalc[Ticker],TabCalc[M])+FM5)</f>
        <v>-10319.999999999998</v>
      </c>
      <c r="FL5" s="1145">
        <v>1500</v>
      </c>
      <c r="FM5" s="1139">
        <v>-30.22</v>
      </c>
      <c r="FN5" s="1142">
        <f ca="1">FO5*(_xlfn.XLOOKUP(FN$3,TabCalc[Ticker],TabCalc[M])+FP5)</f>
        <v>50.45</v>
      </c>
      <c r="FO5" s="1145">
        <v>10</v>
      </c>
      <c r="FP5" s="1139">
        <v>-11.06</v>
      </c>
      <c r="FQ5" s="1142">
        <f ca="1">FR5*(_xlfn.XLOOKUP(FQ$3,TabCalc[Ticker],TabCalc[M])+FS5)</f>
        <v>6684.0000000000009</v>
      </c>
      <c r="FR5" s="1145">
        <v>2000</v>
      </c>
      <c r="FS5" s="1139">
        <v>-12.59</v>
      </c>
      <c r="FT5" s="1142">
        <f ca="1">FU5*(_xlfn.XLOOKUP(FT$3,TabCalc[Ticker],TabCalc[M])+FV5)</f>
        <v>-15188</v>
      </c>
      <c r="FU5" s="1145">
        <v>10000</v>
      </c>
      <c r="FV5" s="1139">
        <v>-1.72</v>
      </c>
      <c r="FW5" s="1142">
        <f ca="1">FX5*(_xlfn.XLOOKUP(FW$3,TabCalc[Ticker],TabCalc[M])+FY5)</f>
        <v>150.49999999999997</v>
      </c>
      <c r="FX5" s="1145">
        <v>10</v>
      </c>
      <c r="FY5" s="1139">
        <v>-39.590000000000003</v>
      </c>
      <c r="FZ5" s="1142">
        <f ca="1">GA5*(_xlfn.XLOOKUP(FZ$3,TabCalc[Ticker],TabCalc[M])+GB5)</f>
        <v>19770</v>
      </c>
      <c r="GA5" s="1145">
        <v>6000</v>
      </c>
      <c r="GB5" s="1139">
        <v>-10.87</v>
      </c>
      <c r="GC5" s="1142">
        <f ca="1">GD5*(_xlfn.XLOOKUP(GC$3,TabCalc[Ticker],TabCalc[M])+GE5)</f>
        <v>9.8149999999999977</v>
      </c>
      <c r="GD5" s="1145">
        <v>1</v>
      </c>
      <c r="GE5" s="1139">
        <v>-33.094999999999999</v>
      </c>
      <c r="GF5" s="1142">
        <f ca="1">GG5*(_xlfn.XLOOKUP(GF$3,TabCalc[Ticker],TabCalc[M])+GH5)</f>
        <v>-7050</v>
      </c>
      <c r="GG5" s="1145">
        <v>200</v>
      </c>
      <c r="GH5" s="1139">
        <v>-250.9</v>
      </c>
      <c r="GI5" s="1142">
        <f ca="1">GJ5*(_xlfn.XLOOKUP(GI$3,TabCalc[Ticker],TabCalc[M])+GK5)</f>
        <v>-348.07499999999987</v>
      </c>
      <c r="GJ5" s="1145">
        <v>39</v>
      </c>
      <c r="GK5" s="1139">
        <v>-37.424999999999997</v>
      </c>
      <c r="GL5" s="1142">
        <f ca="1">GM5*(_xlfn.XLOOKUP(GL$3,TabCalc[Ticker],TabCalc[M])+GN5)</f>
        <v>20067.13</v>
      </c>
      <c r="GM5" s="1145">
        <v>290</v>
      </c>
      <c r="GN5" s="1139">
        <v>-198.8</v>
      </c>
      <c r="GO5" s="1142">
        <f ca="1">GP5*(_xlfn.XLOOKUP(GO$3,TabCalc[Ticker],TabCalc[M])+GQ5)</f>
        <v>29455</v>
      </c>
      <c r="GP5" s="1145">
        <v>500</v>
      </c>
      <c r="GQ5" s="1139">
        <v>-185.65</v>
      </c>
      <c r="GR5" s="1142">
        <f ca="1">GS5*(_xlfn.XLOOKUP(GR$3,TabCalc[Ticker],TabCalc[M])+GT5)</f>
        <v>19298.299999999996</v>
      </c>
      <c r="GS5" s="1145">
        <v>70</v>
      </c>
      <c r="GT5" s="1139">
        <v>-595.11</v>
      </c>
      <c r="GU5" s="1142">
        <f ca="1">GV5*(_xlfn.XLOOKUP(GU$3,TabCalc[Ticker],TabCalc[M])+GW5)</f>
        <v>6216.0000000000009</v>
      </c>
      <c r="GV5" s="1145">
        <v>21000</v>
      </c>
      <c r="GW5" s="1139">
        <v>-1.929</v>
      </c>
      <c r="GX5" s="1142">
        <f ca="1">GY5*(_xlfn.XLOOKUP(GX$3,TabCalc[Ticker],TabCalc[M])+GZ5)</f>
        <v>1420.400000000003</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-42862.800000000017</v>
      </c>
      <c r="HH5" s="1145">
        <v>3000</v>
      </c>
      <c r="HI5" s="1139">
        <v>-38.812600000000003</v>
      </c>
      <c r="HJ5" s="1142">
        <f ca="1">HK5*(_xlfn.XLOOKUP(HJ$3,TabCalc[Ticker],TabCalc[M])+HL5)</f>
        <v>23116.000000000004</v>
      </c>
      <c r="HK5" s="1145">
        <v>40000</v>
      </c>
      <c r="HL5" s="1139">
        <v>-1.012</v>
      </c>
      <c r="HM5" s="1142">
        <f ca="1">HN5*(_xlfn.XLOOKUP(HM$3,TabCalc[Ticker],TabCalc[M])+HO5)</f>
        <v>10630.620000000012</v>
      </c>
      <c r="HN5" s="1145">
        <v>10010</v>
      </c>
      <c r="HO5" s="1139">
        <v>-14.87</v>
      </c>
      <c r="HP5" s="1142">
        <f ca="1">HQ5*(_xlfn.XLOOKUP(HP$3,TabCalc[Ticker],TabCalc[M])+HR5)</f>
        <v>407799.99999999971</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-2415.9999999999968</v>
      </c>
      <c r="HZ5" s="1145">
        <v>200</v>
      </c>
      <c r="IA5" s="1139">
        <v>-166.7</v>
      </c>
      <c r="IB5" s="1142">
        <f ca="1">IC5*(_xlfn.XLOOKUP(IB$3,TabCalc[Ticker],TabCalc[M])+ID5)</f>
        <v>0</v>
      </c>
      <c r="IC5" s="1145"/>
      <c r="ID5" s="1139"/>
      <c r="IE5" s="1142">
        <f ca="1">IF5*(_xlfn.XLOOKUP(IE$3,TabCalc[Ticker],TabCalc[M])+IG5)</f>
        <v>-50116.165000000001</v>
      </c>
      <c r="IF5" s="1145">
        <v>9647</v>
      </c>
      <c r="IG5" s="1139">
        <v>-6.44</v>
      </c>
      <c r="IH5" s="1142">
        <f ca="1">II5*(_xlfn.XLOOKUP(IH$3,TabCalc[Ticker],TabCalc[M])+IJ5)</f>
        <v>2001.1200000000044</v>
      </c>
      <c r="II5" s="1145">
        <v>1200</v>
      </c>
      <c r="IJ5" s="1139">
        <v>-30.697399999999998</v>
      </c>
      <c r="IK5" s="1142">
        <f ca="1">IL5*(_xlfn.XLOOKUP(IK$3,TabCalc[Ticker],TabCalc[M])+IM5)</f>
        <v>449.00000000000091</v>
      </c>
      <c r="IL5" s="1145">
        <v>100</v>
      </c>
      <c r="IM5" s="1139">
        <v>-546.80999999999995</v>
      </c>
      <c r="IN5" s="1142">
        <f ca="1">IO5*(_xlfn.XLOOKUP(IN$3,TabCalc[Ticker],TabCalc[M])+IP5)</f>
        <v>4138.2</v>
      </c>
      <c r="IO5" s="1145">
        <v>2000</v>
      </c>
      <c r="IP5" s="1139">
        <v>-5.3399000000000001</v>
      </c>
      <c r="IQ5" s="1142">
        <f ca="1">IR5*(_xlfn.XLOOKUP(IQ$3,TabCalc[Ticker],TabCalc[M]))</f>
        <v>0</v>
      </c>
      <c r="IR5" s="1145"/>
      <c r="IS5" s="1139"/>
      <c r="IT5" s="1142">
        <f ca="1">IU5*(_xlfn.XLOOKUP(IT$3,TabCalc[Ticker],TabCalc[M])+IV5)</f>
        <v>503.99999999999989</v>
      </c>
      <c r="IU5" s="1145">
        <v>1200</v>
      </c>
      <c r="IV5" s="1139">
        <v>-13.744999999999999</v>
      </c>
      <c r="IW5" s="1142">
        <f ca="1">IX5*(_xlfn.XLOOKUP(IW$3,TabCalc[Ticker],TabCalc[M])+IY5)</f>
        <v>-6050.6999999999989</v>
      </c>
      <c r="IX5" s="1145">
        <v>1000</v>
      </c>
      <c r="IY5" s="1139">
        <v>-47.24</v>
      </c>
      <c r="IZ5" s="1142">
        <f ca="1">JA5*(_xlfn.XLOOKUP(IZ$3,TabCalc[Ticker],TabCalc[M])+JB5)</f>
        <v>-904.00000000000205</v>
      </c>
      <c r="JA5" s="1145">
        <v>1600</v>
      </c>
      <c r="JB5" s="1139">
        <v>-24.94</v>
      </c>
      <c r="JC5" s="1142">
        <f ca="1">JD5*(_xlfn.XLOOKUP(JC$3,TabCalc[Ticker],TabCalc[M])+JE5)</f>
        <v>23000</v>
      </c>
      <c r="JD5" s="1145">
        <v>25000</v>
      </c>
      <c r="JE5" s="1139">
        <v>-3.04</v>
      </c>
      <c r="JF5" s="1142">
        <f ca="1">JG5*(_xlfn.XLOOKUP(JF$3,TabCalc[Ticker],TabCalc[M])+JH5)</f>
        <v>0</v>
      </c>
      <c r="JG5" s="1145"/>
      <c r="JH5" s="1139"/>
      <c r="JI5" s="1142">
        <f ca="1">JJ5*(_xlfn.XLOOKUP(JI$3,TabCalc[Ticker],TabCalc[M])+JK5)</f>
        <v>-6852.0000000000009</v>
      </c>
      <c r="JJ5" s="1145">
        <v>600</v>
      </c>
      <c r="JK5" s="1139">
        <v>-76.94</v>
      </c>
      <c r="JL5" s="1142">
        <f ca="1">JM5*(_xlfn.XLOOKUP(JL$3,TabCalc[Ticker],TabCalc[M])+JN5)</f>
        <v>9657.7499999999982</v>
      </c>
      <c r="JM5" s="1145">
        <v>150</v>
      </c>
      <c r="JN5" s="1139">
        <v>-140.46</v>
      </c>
      <c r="JO5" s="1142">
        <f ca="1">JP5*(_xlfn.XLOOKUP(JO$3,TabCalc[Ticker],TabCalc[M])+JQ5)</f>
        <v>238.82794000000004</v>
      </c>
      <c r="JP5" s="1145">
        <v>10</v>
      </c>
      <c r="JQ5" s="1139">
        <v>-30.957205999999999</v>
      </c>
      <c r="JR5" s="1142">
        <f ca="1">JS5*(_xlfn.XLOOKUP(JR$3,TabCalc[Ticker],TabCalc[M])+JT5)</f>
        <v>372701.39999999997</v>
      </c>
      <c r="JS5" s="1147">
        <v>77100</v>
      </c>
      <c r="JT5" s="1139">
        <v>-5.34</v>
      </c>
      <c r="JU5" s="1142">
        <f ca="1">JV5*(_xlfn.XLOOKUP(JU$3,TabCalc[Ticker],TabCalc[M])+JW5)</f>
        <v>29411.999999999989</v>
      </c>
      <c r="JV5" s="82">
        <v>200</v>
      </c>
      <c r="JW5" s="1139">
        <v>-723.74</v>
      </c>
      <c r="JX5" s="1142">
        <f ca="1">JY5*(_xlfn.XLOOKUP(JX$3,TabCalc[Ticker],TabCalc[M])+JZ5)</f>
        <v>15299.999999999998</v>
      </c>
      <c r="JY5" s="1145">
        <v>3000</v>
      </c>
      <c r="JZ5" s="1139">
        <v>-11.005000000000001</v>
      </c>
    </row>
    <row r="6" spans="1:301" ht="22" customHeight="1" x14ac:dyDescent="0.3">
      <c r="A6">
        <v>3</v>
      </c>
      <c r="B6" s="1142">
        <f ca="1">C6*(_xlfn.XLOOKUP(B$3,TabCalc[Ticker],TabCalc[M])+D6)</f>
        <v>21401.100000000006</v>
      </c>
      <c r="C6" s="1145">
        <v>300</v>
      </c>
      <c r="D6" s="1139">
        <v>-196.66</v>
      </c>
      <c r="E6" s="1142">
        <f ca="1">F6*(_xlfn.XLOOKUP(E$3,TabCalc[Ticker],TabCalc[M])+G6)</f>
        <v>2020.0500000000015</v>
      </c>
      <c r="F6" s="1145">
        <v>2010</v>
      </c>
      <c r="G6" s="1139">
        <v>-13.04</v>
      </c>
      <c r="H6" s="1142">
        <f ca="1">I6*(_xlfn.XLOOKUP(H$3,TabCalc[Ticker],TabCalc[M])+J6)</f>
        <v>63970.119300000115</v>
      </c>
      <c r="I6" s="1145">
        <v>19410</v>
      </c>
      <c r="J6" s="1139">
        <v>-41.404269999999997</v>
      </c>
      <c r="K6" s="1142">
        <f ca="1">L6*(_xlfn.XLOOKUP(K$3,TabCalc[Ticker],TabCalc[M])+M6)</f>
        <v>53666.239999999991</v>
      </c>
      <c r="L6" s="1145">
        <v>800</v>
      </c>
      <c r="M6" s="1139">
        <v>-177.47720000000001</v>
      </c>
      <c r="N6" s="1142">
        <f ca="1">O6*(_xlfn.XLOOKUP(N$3,TabCalc[Ticker],TabCalc[M])+P6)</f>
        <v>-4328.4999999999991</v>
      </c>
      <c r="O6" s="1145">
        <v>19675</v>
      </c>
      <c r="P6" s="1139">
        <v>-1</v>
      </c>
      <c r="Q6" s="1142">
        <f ca="1">R6*(_xlfn.XLOOKUP(Q$3,TabCalc[Ticker],TabCalc[M])+S6)</f>
        <v>80475</v>
      </c>
      <c r="R6" s="1145">
        <v>300</v>
      </c>
      <c r="S6" s="1139">
        <v>-602.54999999999995</v>
      </c>
      <c r="T6" s="1142">
        <f ca="1">U6*(_xlfn.XLOOKUP(T$3,TabCalc[Ticker],TabCalc[M])+V6)</f>
        <v>3308.5499999999993</v>
      </c>
      <c r="U6" s="1145">
        <v>210</v>
      </c>
      <c r="V6" s="1139">
        <v>-331.63</v>
      </c>
      <c r="W6" s="1142">
        <f ca="1">X6*(_xlfn.XLOOKUP(W$3,TabCalc[Ticker],TabCalc[M])+Y6)</f>
        <v>0</v>
      </c>
      <c r="X6" s="1145"/>
      <c r="Y6" s="1139"/>
      <c r="Z6" s="1142">
        <f ca="1">AA6*(_xlfn.XLOOKUP(Z$3,TabCalc[Ticker],TabCalc[M])+AB6)</f>
        <v>6459.9999999999991</v>
      </c>
      <c r="AA6" s="1145">
        <v>4000</v>
      </c>
      <c r="AB6" s="1139">
        <v>-1.87</v>
      </c>
      <c r="AC6" s="1142">
        <f ca="1">AD6*(_xlfn.XLOOKUP(AC$3,TabCalc[Ticker],TabCalc[M])+AE6)</f>
        <v>0</v>
      </c>
      <c r="AD6" s="1145"/>
      <c r="AE6" s="1139"/>
      <c r="AF6" s="1142">
        <f ca="1">AG6*(_xlfn.XLOOKUP(AF$3,TabCalc[Ticker],TabCalc[M])+AH6)</f>
        <v>-41.00000000000108</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-4699.9999999999973</v>
      </c>
      <c r="AP6" s="1145">
        <v>20000</v>
      </c>
      <c r="AQ6" s="1139">
        <v>-2.46</v>
      </c>
      <c r="AR6" s="1142">
        <f ca="1">AS6*(_xlfn.XLOOKUP(AR$3,TabCalc[Ticker],TabCalc[M])+AT6)</f>
        <v>-4133.9999999999918</v>
      </c>
      <c r="AS6" s="1145">
        <v>800</v>
      </c>
      <c r="AT6" s="1139">
        <v>-115.89749999999999</v>
      </c>
      <c r="AU6" s="1142">
        <f ca="1">AV6*(_xlfn.XLOOKUP(AU$3,TabCalc[Ticker],TabCalc[M])+AW6)</f>
        <v>-3804.9999999999995</v>
      </c>
      <c r="AV6" s="1145">
        <v>500</v>
      </c>
      <c r="AW6" s="1139">
        <v>-30.95</v>
      </c>
      <c r="AX6" s="1142">
        <f ca="1">AY6*(_xlfn.XLOOKUP(AX$3,TabCalc[Ticker],TabCalc[M])+AZ6)</f>
        <v>-1506.0000000000002</v>
      </c>
      <c r="AY6" s="1145">
        <v>400</v>
      </c>
      <c r="AZ6" s="1139">
        <v>-127.09</v>
      </c>
      <c r="BA6" s="1142">
        <f ca="1">BB6*(_xlfn.XLOOKUP(BA$3,TabCalc[Ticker],TabCalc[M])+BC6)</f>
        <v>-10784.999999999996</v>
      </c>
      <c r="BB6" s="1145">
        <v>2000</v>
      </c>
      <c r="BC6" s="1139">
        <v>-18.567499999999999</v>
      </c>
      <c r="BD6" s="1142">
        <f ca="1">BE6*(_xlfn.XLOOKUP(BD$3,TabCalc[Ticker],TabCalc[M])+BF6)</f>
        <v>939.25000000001853</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12448.167999999996</v>
      </c>
      <c r="BN6" s="1145">
        <v>4000</v>
      </c>
      <c r="BO6" s="1139">
        <v>-20.287958</v>
      </c>
      <c r="BP6" s="1142">
        <f ca="1">BQ6*(_xlfn.XLOOKUP(BP$3,TabCalc[Ticker],TabCalc[M])+BR6)</f>
        <v>-1315.0000000000014</v>
      </c>
      <c r="BQ6" s="1145">
        <v>1000</v>
      </c>
      <c r="BR6" s="1139">
        <v>-27.53</v>
      </c>
      <c r="BS6" s="1142">
        <f ca="1">BT6*(_xlfn.XLOOKUP(BS$3,TabCalc[Ticker],TabCalc[M])+BU6)</f>
        <v>2343759.9999999995</v>
      </c>
      <c r="BT6" s="1145">
        <v>20000</v>
      </c>
      <c r="BU6" s="1139">
        <v>-249.012</v>
      </c>
      <c r="BV6" s="1142">
        <f ca="1">BW6*(_xlfn.XLOOKUP(BV$3,TabCalc[Ticker],TabCalc[M])+BX6)</f>
        <v>-2090.0000000000036</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-50475.000000000007</v>
      </c>
      <c r="CF6" s="1145">
        <v>3000</v>
      </c>
      <c r="CG6" s="1139">
        <v>-41.35</v>
      </c>
      <c r="CH6" s="1142">
        <f ca="1">CI6*(_xlfn.XLOOKUP(CH$3,TabCalc[Ticker],TabCalc[M])+CJ6)</f>
        <v>17880</v>
      </c>
      <c r="CI6" s="1145">
        <v>150</v>
      </c>
      <c r="CJ6" s="1139">
        <v>-378.43</v>
      </c>
      <c r="CK6" s="1142">
        <f ca="1">CL6*(_xlfn.XLOOKUP(CK$3,TabCalc[Ticker],TabCalc[M])+CM6)</f>
        <v>0</v>
      </c>
      <c r="CL6" s="1145"/>
      <c r="CM6" s="1139"/>
      <c r="CN6" s="1142">
        <f ca="1">CO6*(_xlfn.XLOOKUP(CN$3,TabCalc[Ticker],TabCalc[M])+CP6)</f>
        <v>79299.999999999985</v>
      </c>
      <c r="CO6" s="1145">
        <v>2000</v>
      </c>
      <c r="CP6" s="1139">
        <v>-43.7</v>
      </c>
      <c r="CQ6" s="1142">
        <f ca="1">CR6*(_xlfn.XLOOKUP(CQ$3,TabCalc[Ticker],TabCalc[M])+CS6)</f>
        <v>-2154.9999999999727</v>
      </c>
      <c r="CR6" s="1145">
        <v>500</v>
      </c>
      <c r="CS6" s="1139">
        <v>-1103.56</v>
      </c>
      <c r="CT6" s="1142">
        <f ca="1">CU6*(_xlfn.XLOOKUP(CT$3,TabCalc[Ticker],TabCalc[M])+CV6)</f>
        <v>-164396.01749999999</v>
      </c>
      <c r="CU6" s="1145">
        <v>24167</v>
      </c>
      <c r="CV6" s="1139">
        <v>-9.8524999999999991</v>
      </c>
      <c r="CW6" s="1142">
        <f ca="1">CX6*(_xlfn.XLOOKUP(CW$3,TabCalc[Ticker],TabCalc[M])+CY6)</f>
        <v>10299.900000000001</v>
      </c>
      <c r="CX6" s="1145">
        <v>1000</v>
      </c>
      <c r="CY6" s="1139">
        <v>-24.42</v>
      </c>
      <c r="CZ6" s="1142">
        <f ca="1">DA6*(_xlfn.XLOOKUP(CZ$3,TabCalc[Ticker],TabCalc[M])+DB6)</f>
        <v>0</v>
      </c>
      <c r="DA6" s="1145"/>
      <c r="DB6" s="1139"/>
      <c r="DC6" s="1142">
        <f ca="1">DD6*(_xlfn.XLOOKUP(DC$3,TabCalc[Ticker],TabCalc[M])+DE6)</f>
        <v>11129.300000000003</v>
      </c>
      <c r="DD6" s="1145">
        <v>7000</v>
      </c>
      <c r="DE6" s="1139">
        <v>-3.78</v>
      </c>
      <c r="DF6" s="1142">
        <f ca="1">DG6*(_xlfn.XLOOKUP(DF$3,TabCalc[Ticker],TabCalc[M])+DH6)</f>
        <v>-276.04719999999998</v>
      </c>
      <c r="DG6" s="1145">
        <v>988</v>
      </c>
      <c r="DH6" s="1139">
        <v>-0.93940000000000001</v>
      </c>
      <c r="DI6" s="1142">
        <f ca="1">DJ6*(_xlfn.XLOOKUP(DI$3,TabCalc[Ticker],TabCalc[M])+DK6)</f>
        <v>13529.510000000002</v>
      </c>
      <c r="DJ6" s="1145">
        <v>2000</v>
      </c>
      <c r="DK6" s="1139">
        <v>-28.545245000000001</v>
      </c>
      <c r="DL6" s="1142">
        <f ca="1">DM6*(_xlfn.XLOOKUP(DL$3,TabCalc[Ticker],TabCalc[M])+DN6)</f>
        <v>0</v>
      </c>
      <c r="DM6" s="1145"/>
      <c r="DN6" s="1139"/>
      <c r="DO6" s="1142">
        <f ca="1">DP6*(_xlfn.XLOOKUP(DO$3,TabCalc[Ticker],TabCalc[M])+DQ6)</f>
        <v>-8349.9999999999945</v>
      </c>
      <c r="DP6" s="1145">
        <v>500</v>
      </c>
      <c r="DQ6" s="1139">
        <v>-232.35</v>
      </c>
      <c r="DR6" s="1142">
        <f ca="1">DS6*(_xlfn.XLOOKUP(DR$3,TabCalc[Ticker],TabCalc[M])+DT6)</f>
        <v>-800.00000000000432</v>
      </c>
      <c r="DS6" s="1145">
        <v>4000</v>
      </c>
      <c r="DT6" s="1139">
        <v>-14.89</v>
      </c>
      <c r="DU6" s="1142">
        <f ca="1">DV6*(_xlfn.XLOOKUP(DU$3,TabCalc[Ticker],TabCalc[M])+DW6)</f>
        <v>630.0000000000025</v>
      </c>
      <c r="DV6" s="1145">
        <v>3000</v>
      </c>
      <c r="DW6" s="1139">
        <v>-9.25</v>
      </c>
      <c r="DX6" s="1142">
        <f ca="1">DY6*(_xlfn.XLOOKUP(DX$3,TabCalc[Ticker],TabCalc[M])+DZ6)</f>
        <v>0</v>
      </c>
      <c r="DY6" s="1145"/>
      <c r="DZ6" s="1139"/>
      <c r="EA6" s="1142">
        <f ca="1">EB6*(_xlfn.XLOOKUP(EA$3,TabCalc[Ticker],TabCalc[M])+EC6)</f>
        <v>173340.00000000006</v>
      </c>
      <c r="EB6" s="1145">
        <v>1350</v>
      </c>
      <c r="EC6" s="1139">
        <v>-157.44999999999999</v>
      </c>
      <c r="ED6" s="1142">
        <f ca="1">EE6*(_xlfn.XLOOKUP(ED$3,TabCalc[Ticker],TabCalc[M])+EF6)</f>
        <v>-1763.1899999999996</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-875.25000000000114</v>
      </c>
      <c r="EN6" s="1145">
        <v>1500</v>
      </c>
      <c r="EO6" s="1139">
        <v>-28</v>
      </c>
      <c r="EP6" s="1142">
        <f ca="1">EQ6*(_xlfn.XLOOKUP(EP$3,TabCalc[Ticker],TabCalc[M])+ER6)</f>
        <v>-590.00000000000341</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-29.999999999998295</v>
      </c>
      <c r="EZ6" s="1145">
        <v>300</v>
      </c>
      <c r="FA6" s="1148">
        <v>-117.49</v>
      </c>
      <c r="FB6" s="1142">
        <f ca="1">FC6*(_xlfn.XLOOKUP(FB$3,TabCalc[Ticker],TabCalc[M])+FD6)</f>
        <v>-2593.2000000000003</v>
      </c>
      <c r="FC6" s="1145">
        <v>800</v>
      </c>
      <c r="FD6" s="1148">
        <v>-9.84</v>
      </c>
      <c r="FE6" s="1142">
        <f ca="1">FF6*(_xlfn.XLOOKUP(FE$3,TabCalc[Ticker],TabCalc[M])+FG6)</f>
        <v>-4600</v>
      </c>
      <c r="FF6" s="1145">
        <v>20000</v>
      </c>
      <c r="FG6" s="1139">
        <v>-1.01</v>
      </c>
      <c r="FH6" s="1142">
        <f ca="1">FI6*(_xlfn.XLOOKUP(FH$3,TabCalc[Ticker],TabCalc[M])+FJ6)</f>
        <v>0</v>
      </c>
      <c r="FI6" s="1145"/>
      <c r="FJ6" s="1139"/>
      <c r="FK6" s="1142">
        <f ca="1">FL6*(_xlfn.XLOOKUP(FK$3,TabCalc[Ticker],TabCalc[M])+FM6)</f>
        <v>-4010</v>
      </c>
      <c r="FL6" s="1145">
        <v>500</v>
      </c>
      <c r="FM6" s="1139">
        <v>-31.36</v>
      </c>
      <c r="FN6" s="1142">
        <f ca="1">FO6*(_xlfn.XLOOKUP(FN$3,TabCalc[Ticker],TabCalc[M])+FP6)</f>
        <v>0</v>
      </c>
      <c r="FO6" s="1145"/>
      <c r="FP6" s="1139"/>
      <c r="FQ6" s="1142">
        <f ca="1">FR6*(_xlfn.XLOOKUP(FQ$3,TabCalc[Ticker],TabCalc[M])+FS6)</f>
        <v>26181.600000000002</v>
      </c>
      <c r="FR6" s="1145">
        <v>8000</v>
      </c>
      <c r="FS6" s="1139">
        <v>-12.6593</v>
      </c>
      <c r="FT6" s="1142">
        <f ca="1">FU6*(_xlfn.XLOOKUP(FT$3,TabCalc[Ticker],TabCalc[M])+FV6)</f>
        <v>-13457.599999999999</v>
      </c>
      <c r="FU6" s="1145">
        <v>2000</v>
      </c>
      <c r="FV6" s="1139">
        <v>-6.93</v>
      </c>
      <c r="FW6" s="1142">
        <f ca="1">FX6*(_xlfn.XLOOKUP(FW$3,TabCalc[Ticker],TabCalc[M])+FY6)</f>
        <v>619.9999999999975</v>
      </c>
      <c r="FX6" s="1145">
        <v>1000</v>
      </c>
      <c r="FY6" s="1139">
        <v>-54.02</v>
      </c>
      <c r="FZ6" s="1142">
        <f ca="1">GA6*(_xlfn.XLOOKUP(FZ$3,TabCalc[Ticker],TabCalc[M])+GB6)</f>
        <v>15527.999999999996</v>
      </c>
      <c r="GA6" s="1145">
        <v>4800</v>
      </c>
      <c r="GB6" s="1139">
        <v>-10.93</v>
      </c>
      <c r="GC6" s="1142">
        <f ca="1">GD6*(_xlfn.XLOOKUP(GC$3,TabCalc[Ticker],TabCalc[M])+GE6)</f>
        <v>0</v>
      </c>
      <c r="GD6" s="1145"/>
      <c r="GE6" s="1139"/>
      <c r="GF6" s="1142">
        <f ca="1">GG6*(_xlfn.XLOOKUP(GF$3,TabCalc[Ticker],TabCalc[M])+GH6)</f>
        <v>-8790.0000000000036</v>
      </c>
      <c r="GG6" s="1145">
        <v>200</v>
      </c>
      <c r="GH6" s="1139">
        <v>-259.60000000000002</v>
      </c>
      <c r="GI6" s="1142">
        <f ca="1">GJ6*(_xlfn.XLOOKUP(GI$3,TabCalc[Ticker],TabCalc[M])+GK6)</f>
        <v>-84.6</v>
      </c>
      <c r="GJ6" s="1145">
        <v>9</v>
      </c>
      <c r="GK6" s="1139">
        <v>-37.9</v>
      </c>
      <c r="GL6" s="1142">
        <f ca="1">GM6*(_xlfn.XLOOKUP(GL$3,TabCalc[Ticker],TabCalc[M])+GN6)</f>
        <v>3782.8608000000008</v>
      </c>
      <c r="GM6" s="1145">
        <v>60</v>
      </c>
      <c r="GN6" s="1139">
        <v>-204.94932</v>
      </c>
      <c r="GO6" s="1142">
        <f ca="1">GP6*(_xlfn.XLOOKUP(GO$3,TabCalc[Ticker],TabCalc[M])+GQ6)</f>
        <v>12767.499999999998</v>
      </c>
      <c r="GP6" s="1145">
        <v>250</v>
      </c>
      <c r="GQ6" s="1139">
        <v>-193.49</v>
      </c>
      <c r="GR6" s="1142">
        <f ca="1">GS6*(_xlfn.XLOOKUP(GR$3,TabCalc[Ticker],TabCalc[M])+GT6)</f>
        <v>10464.999999999998</v>
      </c>
      <c r="GS6" s="1145">
        <v>50</v>
      </c>
      <c r="GT6" s="1139">
        <v>-661.5</v>
      </c>
      <c r="GU6" s="1142">
        <f ca="1">GV6*(_xlfn.XLOOKUP(GU$3,TabCalc[Ticker],TabCalc[M])+GW6)</f>
        <v>-11657.499999999998</v>
      </c>
      <c r="GV6" s="1145">
        <v>25000</v>
      </c>
      <c r="GW6" s="1139">
        <v>-2.6913</v>
      </c>
      <c r="GX6" s="1142">
        <f ca="1">GY6*(_xlfn.XLOOKUP(GX$3,TabCalc[Ticker],TabCalc[M])+GZ6)</f>
        <v>-1192.5</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-48016.700000000004</v>
      </c>
      <c r="HH6" s="1145">
        <v>1000</v>
      </c>
      <c r="HI6" s="1139">
        <v>-72.541700000000006</v>
      </c>
      <c r="HJ6" s="1142">
        <f ca="1">HK6*(_xlfn.XLOOKUP(HJ$3,TabCalc[Ticker],TabCalc[M])+HL6)</f>
        <v>-7001.9999999999973</v>
      </c>
      <c r="HK6" s="1145">
        <v>20000</v>
      </c>
      <c r="HL6" s="1139">
        <v>-1.94</v>
      </c>
      <c r="HM6" s="1142">
        <f ca="1">HN6*(_xlfn.XLOOKUP(HM$3,TabCalc[Ticker],TabCalc[M])+HO6)</f>
        <v>7073.8800000000028</v>
      </c>
      <c r="HN6" s="1145">
        <v>6990</v>
      </c>
      <c r="HO6" s="1139">
        <v>-14.92</v>
      </c>
      <c r="HP6" s="1142">
        <f ca="1">HQ6*(_xlfn.XLOOKUP(HP$3,TabCalc[Ticker],TabCalc[M])+HR6)</f>
        <v>-95000</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-8561.9999999999982</v>
      </c>
      <c r="HZ6" s="1145">
        <v>300</v>
      </c>
      <c r="IA6" s="1139">
        <v>-183.16</v>
      </c>
      <c r="IB6" s="1142">
        <f ca="1">IC6*(_xlfn.XLOOKUP(IB$3,TabCalc[Ticker],TabCalc[M])+ID6)</f>
        <v>0</v>
      </c>
      <c r="IC6" s="1144"/>
      <c r="ID6" s="1139"/>
      <c r="IE6" s="1142">
        <f ca="1">IF6*(_xlfn.XLOOKUP(IE$3,TabCalc[Ticker],TabCalc[M])+IG6)</f>
        <v>-21598.01</v>
      </c>
      <c r="IF6" s="1145">
        <v>518</v>
      </c>
      <c r="IG6" s="1139">
        <v>-42.94</v>
      </c>
      <c r="IH6" s="1142">
        <f ca="1">II6*(_xlfn.XLOOKUP(IH$3,TabCalc[Ticker],TabCalc[M])+IJ6)</f>
        <v>0</v>
      </c>
      <c r="II6" s="1145"/>
      <c r="IJ6" s="1139"/>
      <c r="IK6" s="1142">
        <f ca="1">IL6*(_xlfn.XLOOKUP(IK$3,TabCalc[Ticker],TabCalc[M])+IM6)</f>
        <v>-1459.0000000000032</v>
      </c>
      <c r="IL6" s="1145">
        <v>100</v>
      </c>
      <c r="IM6" s="1139">
        <v>-565.89</v>
      </c>
      <c r="IN6" s="1142">
        <f ca="1">IO6*(_xlfn.XLOOKUP(IN$3,TabCalc[Ticker],TabCalc[M])+IP6)</f>
        <v>-10529.099999999997</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-6210.63</v>
      </c>
      <c r="IX6" s="1145">
        <v>900</v>
      </c>
      <c r="IY6" s="1139">
        <v>-48.09</v>
      </c>
      <c r="IZ6" s="1142">
        <f ca="1">JA6*(_xlfn.XLOOKUP(IZ$3,TabCalc[Ticker],TabCalc[M])+JB6)</f>
        <v>0</v>
      </c>
      <c r="JA6" s="1145"/>
      <c r="JB6" s="1139"/>
      <c r="JC6" s="1142">
        <f ca="1">JD6*(_xlfn.XLOOKUP(JC$3,TabCalc[Ticker],TabCalc[M])+JE6)</f>
        <v>7540.0000000000009</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3141.3650000000002</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2750</v>
      </c>
      <c r="JY6" s="1145">
        <v>2000</v>
      </c>
      <c r="JZ6" s="1139">
        <v>-14.73</v>
      </c>
    </row>
    <row r="7" spans="1:301" ht="22" customHeight="1" x14ac:dyDescent="0.3">
      <c r="A7">
        <v>4</v>
      </c>
      <c r="B7" s="1142">
        <f ca="1">C7*(_xlfn.XLOOKUP(B$3,TabCalc[Ticker],TabCalc[M])+D7)</f>
        <v>35288.500000000015</v>
      </c>
      <c r="C7" s="1145">
        <v>500</v>
      </c>
      <c r="D7" s="1139">
        <v>-197.42</v>
      </c>
      <c r="E7" s="1142">
        <f ca="1">F7*(_xlfn.XLOOKUP(E$3,TabCalc[Ticker],TabCalc[M])+G7)</f>
        <v>-38.950000000000017</v>
      </c>
      <c r="F7" s="1145">
        <v>190</v>
      </c>
      <c r="G7" s="1139">
        <v>-14.25</v>
      </c>
      <c r="H7" s="1142">
        <f ca="1">I7*(_xlfn.XLOOKUP(H$3,TabCalc[Ticker],TabCalc[M])+J7)</f>
        <v>-8999.9999999999854</v>
      </c>
      <c r="I7" s="1145">
        <v>10000</v>
      </c>
      <c r="J7" s="1139">
        <v>-45.6</v>
      </c>
      <c r="K7" s="1142">
        <f ca="1">L7*(_xlfn.XLOOKUP(K$3,TabCalc[Ticker],TabCalc[M])+M7)</f>
        <v>122253.2</v>
      </c>
      <c r="L7" s="1145">
        <v>2000</v>
      </c>
      <c r="M7" s="1139">
        <v>-183.43340000000001</v>
      </c>
      <c r="N7" s="1142">
        <f ca="1">O7*(_xlfn.XLOOKUP(N$3,TabCalc[Ticker],TabCalc[M])+P7)</f>
        <v>-7319.51</v>
      </c>
      <c r="O7" s="1145">
        <v>20000</v>
      </c>
      <c r="P7" s="1139">
        <v>-1.1459755</v>
      </c>
      <c r="Q7" s="1142">
        <f ca="1">R7*(_xlfn.XLOOKUP(Q$3,TabCalc[Ticker],TabCalc[M])+S7)</f>
        <v>53400</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3809.9999999999986</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-4475</v>
      </c>
      <c r="AP7" s="1145">
        <v>5000</v>
      </c>
      <c r="AQ7" s="1139">
        <v>-3.12</v>
      </c>
      <c r="AR7" s="1142">
        <f ca="1">AS7*(_xlfn.XLOOKUP(AR$3,TabCalc[Ticker],TabCalc[M])+AT7)</f>
        <v>0</v>
      </c>
      <c r="AS7" s="1145"/>
      <c r="AT7" s="1139"/>
      <c r="AU7" s="1142">
        <f ca="1">AV7*(_xlfn.XLOOKUP(AU$3,TabCalc[Ticker],TabCalc[M])+AW7)</f>
        <v>-4000</v>
      </c>
      <c r="AV7" s="1145">
        <v>500</v>
      </c>
      <c r="AW7" s="1139">
        <v>-31.34</v>
      </c>
      <c r="AX7" s="1142">
        <f ca="1">AY7*(_xlfn.XLOOKUP(AX$3,TabCalc[Ticker],TabCalc[M])+AZ7)</f>
        <v>-16597.350000000002</v>
      </c>
      <c r="AY7" s="1145">
        <v>990</v>
      </c>
      <c r="AZ7" s="1139">
        <v>-140.09</v>
      </c>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437.99999999999955</v>
      </c>
      <c r="BN7" s="1145">
        <v>200</v>
      </c>
      <c r="BO7" s="1139">
        <v>-21.21</v>
      </c>
      <c r="BP7" s="1142">
        <f ca="1">BQ7*(_xlfn.XLOOKUP(BP$3,TabCalc[Ticker],TabCalc[M])+BR7)</f>
        <v>0</v>
      </c>
      <c r="BQ7" s="1145"/>
      <c r="BR7" s="1139"/>
      <c r="BS7" s="1142">
        <f ca="1">BT7*(_xlfn.XLOOKUP(BS$3,TabCalc[Ticker],TabCalc[M])+BU7)</f>
        <v>1634442.0000000002</v>
      </c>
      <c r="BT7" s="1145">
        <v>20000</v>
      </c>
      <c r="BU7" s="1139">
        <v>-284.47789999999998</v>
      </c>
      <c r="BV7" s="1142">
        <f ca="1">BW7*(_xlfn.XLOOKUP(BV$3,TabCalc[Ticker],TabCalc[M])+BX7)</f>
        <v>-1501.5000000000036</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-22605.000000000004</v>
      </c>
      <c r="CF7" s="1145">
        <v>1000</v>
      </c>
      <c r="CG7" s="1139">
        <v>-47.13</v>
      </c>
      <c r="CH7" s="1142">
        <f ca="1">CI7*(_xlfn.XLOOKUP(CH$3,TabCalc[Ticker],TabCalc[M])+CJ7)</f>
        <v>17830.5</v>
      </c>
      <c r="CI7" s="1145">
        <v>150</v>
      </c>
      <c r="CJ7" s="1139">
        <v>-378.76</v>
      </c>
      <c r="CK7" s="1142">
        <f ca="1">CL7*(_xlfn.XLOOKUP(CK$3,TabCalc[Ticker],TabCalc[M])+CM7)</f>
        <v>0</v>
      </c>
      <c r="CL7" s="1145"/>
      <c r="CM7" s="1139"/>
      <c r="CN7" s="1142">
        <f ca="1">CO7*(_xlfn.XLOOKUP(CN$3,TabCalc[Ticker],TabCalc[M])+CP7)</f>
        <v>33370</v>
      </c>
      <c r="CO7" s="1145">
        <v>1000</v>
      </c>
      <c r="CP7" s="1139">
        <v>-49.98</v>
      </c>
      <c r="CQ7" s="1142">
        <f ca="1">CR7*(_xlfn.XLOOKUP(CQ$3,TabCalc[Ticker],TabCalc[M])+CS7)</f>
        <v>-23660.000000000058</v>
      </c>
      <c r="CR7" s="1145">
        <v>1300</v>
      </c>
      <c r="CS7" s="1139">
        <v>-1117.45</v>
      </c>
      <c r="CT7" s="1142">
        <f ca="1">CU7*(_xlfn.XLOOKUP(CT$3,TabCalc[Ticker],TabCalc[M])+CV7)</f>
        <v>0</v>
      </c>
      <c r="CU7" s="1145"/>
      <c r="CV7" s="1139"/>
      <c r="CW7" s="1142">
        <f ca="1">CX7*(_xlfn.XLOOKUP(CW$3,TabCalc[Ticker],TabCalc[M])+CY7)</f>
        <v>7189.9000000000015</v>
      </c>
      <c r="CX7" s="1145">
        <v>1000</v>
      </c>
      <c r="CY7" s="1139">
        <v>-27.53</v>
      </c>
      <c r="CZ7" s="1142">
        <f ca="1">DA7*(_xlfn.XLOOKUP(CZ$3,TabCalc[Ticker],TabCalc[M])+DB7)</f>
        <v>0</v>
      </c>
      <c r="DA7" s="1145"/>
      <c r="DB7" s="1139"/>
      <c r="DC7" s="1142">
        <f ca="1">DD7*(_xlfn.XLOOKUP(DC$3,TabCalc[Ticker],TabCalc[M])+DE7)</f>
        <v>624.75000000000057</v>
      </c>
      <c r="DD7" s="1145">
        <v>2500</v>
      </c>
      <c r="DE7" s="1139">
        <v>-5.12</v>
      </c>
      <c r="DF7" s="1142">
        <f ca="1">DG7*(_xlfn.XLOOKUP(DF$3,TabCalc[Ticker],TabCalc[M])+DH7)</f>
        <v>-3216.2129999999997</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-8383.1999999999916</v>
      </c>
      <c r="DP7" s="1145">
        <v>499</v>
      </c>
      <c r="DQ7" s="1139">
        <v>-232.45</v>
      </c>
      <c r="DR7" s="1142">
        <f ca="1">DS7*(_xlfn.XLOOKUP(DR$3,TabCalc[Ticker],TabCalc[M])+DT7)</f>
        <v>-1342.3199999999995</v>
      </c>
      <c r="DS7" s="1145">
        <v>2632</v>
      </c>
      <c r="DT7" s="1139">
        <v>-15.2</v>
      </c>
      <c r="DU7" s="1142">
        <f ca="1">DV7*(_xlfn.XLOOKUP(DU$3,TabCalc[Ticker],TabCalc[M])+DW7)</f>
        <v>-1106.5999999999967</v>
      </c>
      <c r="DV7" s="1145">
        <v>2000</v>
      </c>
      <c r="DW7" s="1139">
        <v>-10.013299999999999</v>
      </c>
      <c r="DX7" s="1142">
        <f ca="1">DY7*(_xlfn.XLOOKUP(DX$3,TabCalc[Ticker],TabCalc[M])+DZ7)</f>
        <v>0</v>
      </c>
      <c r="DY7" s="1145"/>
      <c r="DZ7" s="1139"/>
      <c r="EA7" s="1142">
        <f ca="1">EB7*(_xlfn.XLOOKUP(EA$3,TabCalc[Ticker],TabCalc[M])+EC7)</f>
        <v>13848.474000000004</v>
      </c>
      <c r="EB7" s="1145">
        <v>150</v>
      </c>
      <c r="EC7" s="1139">
        <v>-193.52683999999999</v>
      </c>
      <c r="ED7" s="1142">
        <f ca="1">EE7*(_xlfn.XLOOKUP(ED$3,TabCalc[Ticker],TabCalc[M])+EF7)</f>
        <v>-4973.1000000000013</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-1600.0000000000086</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-13782.300000000005</v>
      </c>
      <c r="FC7" s="1145">
        <v>4200</v>
      </c>
      <c r="FD7" s="1146">
        <v>-9.8800000000000008</v>
      </c>
      <c r="FE7" s="1142">
        <f ca="1">FF7*(_xlfn.XLOOKUP(FE$3,TabCalc[Ticker],TabCalc[M])+FG7)</f>
        <v>-5800.0000000000009</v>
      </c>
      <c r="FF7" s="1145">
        <v>20000</v>
      </c>
      <c r="FG7" s="1139">
        <v>-1.07</v>
      </c>
      <c r="FH7" s="1142">
        <f ca="1">FI7*(_xlfn.XLOOKUP(FH$3,TabCalc[Ticker],TabCalc[M])+FJ7)</f>
        <v>0</v>
      </c>
      <c r="FI7" s="1145"/>
      <c r="FJ7" s="1139"/>
      <c r="FK7" s="1142">
        <f ca="1">FL7*(_xlfn.XLOOKUP(FK$3,TabCalc[Ticker],TabCalc[M])+FM7)</f>
        <v>-38440.000000000015</v>
      </c>
      <c r="FL7" s="1145">
        <v>4000</v>
      </c>
      <c r="FM7" s="1139">
        <v>-32.950000000000003</v>
      </c>
      <c r="FN7" s="1142">
        <f ca="1">FO7*(_xlfn.XLOOKUP(FN$3,TabCalc[Ticker],TabCalc[M])+FP7)</f>
        <v>0</v>
      </c>
      <c r="FO7" s="1145"/>
      <c r="FP7" s="1139"/>
      <c r="FQ7" s="1142">
        <f ca="1">FR7*(_xlfn.XLOOKUP(FQ$3,TabCalc[Ticker],TabCalc[M])+FS7)</f>
        <v>23775.999999999996</v>
      </c>
      <c r="FR7" s="1145">
        <v>8000</v>
      </c>
      <c r="FS7" s="1139">
        <v>-12.96</v>
      </c>
      <c r="FT7" s="1142">
        <f ca="1">FU7*(_xlfn.XLOOKUP(FT$3,TabCalc[Ticker],TabCalc[M])+FV7)</f>
        <v>0</v>
      </c>
      <c r="FU7" s="1145"/>
      <c r="FV7" s="1139"/>
      <c r="FW7" s="1142">
        <f ca="1">FX7*(_xlfn.XLOOKUP(FW$3,TabCalc[Ticker],TabCalc[M])+FY7)</f>
        <v>1019.999999999996</v>
      </c>
      <c r="FX7" s="1145">
        <v>2000</v>
      </c>
      <c r="FY7" s="1139">
        <v>-54.13</v>
      </c>
      <c r="FZ7" s="1142">
        <f ca="1">GA7*(_xlfn.XLOOKUP(FZ$3,TabCalc[Ticker],TabCalc[M])+GB7)</f>
        <v>5849.9999999999982</v>
      </c>
      <c r="GA7" s="1145">
        <v>6000</v>
      </c>
      <c r="GB7" s="1139">
        <v>-13.19</v>
      </c>
      <c r="GC7" s="1142">
        <f ca="1">GD7*(_xlfn.XLOOKUP(GC$3,TabCalc[Ticker],TabCalc[M])+GE7)</f>
        <v>0</v>
      </c>
      <c r="GD7" s="1145"/>
      <c r="GE7" s="1139"/>
      <c r="GF7" s="1142">
        <f ca="1">GG7*(_xlfn.XLOOKUP(GF$3,TabCalc[Ticker],TabCalc[M])+GH7)</f>
        <v>-47.22999999999999</v>
      </c>
      <c r="GG7" s="1145">
        <v>1</v>
      </c>
      <c r="GH7" s="1139">
        <v>-262.88</v>
      </c>
      <c r="GI7" s="1142">
        <f ca="1">GJ7*(_xlfn.XLOOKUP(GI$3,TabCalc[Ticker],TabCalc[M])+GK7)</f>
        <v>-6850.0000000000018</v>
      </c>
      <c r="GJ7" s="1145">
        <v>500</v>
      </c>
      <c r="GK7" s="1139">
        <v>-42.2</v>
      </c>
      <c r="GL7" s="1142">
        <f ca="1">GM7*(_xlfn.XLOOKUP(GL$3,TabCalc[Ticker],TabCalc[M])+GN7)</f>
        <v>0</v>
      </c>
      <c r="GM7" s="1145"/>
      <c r="GN7" s="1139"/>
      <c r="GO7" s="1142">
        <f ca="1">GP7*(_xlfn.XLOOKUP(GO$3,TabCalc[Ticker],TabCalc[M])+GQ7)</f>
        <v>15655.000000000002</v>
      </c>
      <c r="GP7" s="1145">
        <v>500</v>
      </c>
      <c r="GQ7" s="1139">
        <v>-213.25</v>
      </c>
      <c r="GR7" s="1142">
        <f ca="1">GS7*(_xlfn.XLOOKUP(GR$3,TabCalc[Ticker],TabCalc[M])+GT7)</f>
        <v>24343.461999999996</v>
      </c>
      <c r="GS7" s="1145">
        <v>130</v>
      </c>
      <c r="GT7" s="1139">
        <v>-683.54259999999999</v>
      </c>
      <c r="GU7" s="1142">
        <f ca="1">GV7*(_xlfn.XLOOKUP(GU$3,TabCalc[Ticker],TabCalc[M])+GW7)</f>
        <v>-31700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-37082.860500000003</v>
      </c>
      <c r="HH7" s="1145">
        <v>399</v>
      </c>
      <c r="HI7" s="1139">
        <v>-117.4645</v>
      </c>
      <c r="HJ7" s="1142">
        <f ca="1">HK7*(_xlfn.XLOOKUP(HJ$3,TabCalc[Ticker],TabCalc[M])+HL7)</f>
        <v>-26402</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-12707.999999999993</v>
      </c>
      <c r="HZ7" s="1145">
        <v>400</v>
      </c>
      <c r="IA7" s="1139">
        <v>-186.39</v>
      </c>
      <c r="IB7" s="1142">
        <f ca="1">IC7*(_xlfn.XLOOKUP(IB$3,TabCalc[Ticker],TabCalc[M])+ID7)</f>
        <v>0</v>
      </c>
      <c r="IC7" s="1144"/>
      <c r="ID7" s="1139"/>
      <c r="IE7" s="1142">
        <f ca="1">IF7*(_xlfn.XLOOKUP(IE$3,TabCalc[Ticker],TabCalc[M])+IG7)</f>
        <v>-245354.755</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-19128.669999999998</v>
      </c>
      <c r="IX7" s="1145">
        <v>1100</v>
      </c>
      <c r="IY7" s="1139">
        <v>-58.579000000000001</v>
      </c>
      <c r="IZ7" s="1142">
        <f ca="1">JA7*(_xlfn.XLOOKUP(IZ$3,TabCalc[Ticker],TabCalc[M])+JB7)</f>
        <v>0</v>
      </c>
      <c r="JA7" s="1145"/>
      <c r="JB7" s="1139"/>
      <c r="JC7" s="1142">
        <f ca="1">JD7*(_xlfn.XLOOKUP(JC$3,TabCalc[Ticker],TabCalc[M])+JE7)</f>
        <v>779.99999999999932</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52664.999999999993</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6425.0000000000009</v>
      </c>
      <c r="JY7" s="1145">
        <v>5000</v>
      </c>
      <c r="JZ7" s="1139">
        <v>-14.82</v>
      </c>
    </row>
    <row r="8" spans="1:301" x14ac:dyDescent="0.3">
      <c r="A8">
        <v>5</v>
      </c>
      <c r="B8" s="1142">
        <f ca="1">C8*(_xlfn.XLOOKUP(B$3,TabCalc[Ticker],TabCalc[M])+D8)</f>
        <v>20189.100000000006</v>
      </c>
      <c r="C8" s="1145">
        <v>300</v>
      </c>
      <c r="D8" s="1139">
        <v>-200.7</v>
      </c>
      <c r="E8" s="1142">
        <f ca="1">F8*(_xlfn.XLOOKUP(E$3,TabCalc[Ticker],TabCalc[M])+G8)</f>
        <v>0</v>
      </c>
      <c r="F8" s="1145"/>
      <c r="G8" s="1139"/>
      <c r="H8" s="1142">
        <f ca="1">I8*(_xlfn.XLOOKUP(H$3,TabCalc[Ticker],TabCalc[M])+J8)</f>
        <v>-10999.999999999944</v>
      </c>
      <c r="I8" s="1145">
        <v>10000</v>
      </c>
      <c r="J8" s="1139">
        <v>-45.8</v>
      </c>
      <c r="K8" s="1142">
        <f ca="1">L8*(_xlfn.XLOOKUP(K$3,TabCalc[Ticker],TabCalc[M])+M8)</f>
        <v>88920</v>
      </c>
      <c r="L8" s="1145">
        <v>1500</v>
      </c>
      <c r="M8" s="1139">
        <v>-185.28</v>
      </c>
      <c r="N8" s="1142">
        <f ca="1">O8*(_xlfn.XLOOKUP(N$3,TabCalc[Ticker],TabCalc[M])+P8)</f>
        <v>-3699.9999999999986</v>
      </c>
      <c r="O8" s="1145">
        <v>10000</v>
      </c>
      <c r="P8" s="1139">
        <v>-1.1499999999999999</v>
      </c>
      <c r="Q8" s="1142">
        <f ca="1">R8*(_xlfn.XLOOKUP(Q$3,TabCalc[Ticker],TabCalc[M])+S8)</f>
        <v>124299.99999999996</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-21525</v>
      </c>
      <c r="AP8" s="1145">
        <v>15000</v>
      </c>
      <c r="AQ8" s="1139">
        <v>-3.66</v>
      </c>
      <c r="AR8" s="1142">
        <f ca="1">AS8*(_xlfn.XLOOKUP(AR$3,TabCalc[Ticker],TabCalc[M])+AT8)</f>
        <v>0</v>
      </c>
      <c r="AS8" s="1145"/>
      <c r="AT8" s="1139"/>
      <c r="AU8" s="1142">
        <f ca="1">AV8*(_xlfn.XLOOKUP(AU$3,TabCalc[Ticker],TabCalc[M])+AW8)</f>
        <v>-4805.0000000000018</v>
      </c>
      <c r="AV8" s="1145">
        <v>500</v>
      </c>
      <c r="AW8" s="1139">
        <v>-32.950000000000003</v>
      </c>
      <c r="AX8" s="1142">
        <f ca="1">AY8*(_xlfn.XLOOKUP(AX$3,TabCalc[Ticker],TabCalc[M])+AZ8)</f>
        <v>-251.95000000000007</v>
      </c>
      <c r="AY8" s="1145">
        <v>10</v>
      </c>
      <c r="AZ8" s="1139">
        <v>-148.52000000000001</v>
      </c>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1385.9999999999993</v>
      </c>
      <c r="BN8" s="1145">
        <v>1800</v>
      </c>
      <c r="BO8" s="1139">
        <v>-22.63</v>
      </c>
      <c r="BP8" s="1142">
        <f ca="1">BQ8*(_xlfn.XLOOKUP(BP$3,TabCalc[Ticker],TabCalc[M])+BR8)</f>
        <v>0</v>
      </c>
      <c r="BQ8" s="1145"/>
      <c r="BR8" s="1139"/>
      <c r="BS8" s="1142">
        <f ca="1">BT8*(_xlfn.XLOOKUP(BS$3,TabCalc[Ticker],TabCalc[M])+BU8)</f>
        <v>931999.9999999993</v>
      </c>
      <c r="BT8" s="1145">
        <v>20000</v>
      </c>
      <c r="BU8" s="1139">
        <v>-319.60000000000002</v>
      </c>
      <c r="BV8" s="1142">
        <f ca="1">BW8*(_xlfn.XLOOKUP(BV$3,TabCalc[Ticker],TabCalc[M])+BX8)</f>
        <v>-6989.0000000000045</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-95050</v>
      </c>
      <c r="CF8" s="1145">
        <v>2000</v>
      </c>
      <c r="CG8" s="1139">
        <v>-72.05</v>
      </c>
      <c r="CH8" s="1142">
        <f ca="1">CI8*(_xlfn.XLOOKUP(CH$3,TabCalc[Ticker],TabCalc[M])+CJ8)</f>
        <v>20458.000000000004</v>
      </c>
      <c r="CI8" s="1145">
        <v>200</v>
      </c>
      <c r="CJ8" s="1139">
        <v>-395.34</v>
      </c>
      <c r="CK8" s="1142">
        <f ca="1">CL8*(_xlfn.XLOOKUP(CK$3,TabCalc[Ticker],TabCalc[M])+CM8)</f>
        <v>0</v>
      </c>
      <c r="CL8" s="1145"/>
      <c r="CM8" s="1139"/>
      <c r="CN8" s="1142">
        <f ca="1">CO8*(_xlfn.XLOOKUP(CN$3,TabCalc[Ticker],TabCalc[M])+CP8)</f>
        <v>65439.999999999985</v>
      </c>
      <c r="CO8" s="1145">
        <v>2000</v>
      </c>
      <c r="CP8" s="1139">
        <v>-50.63</v>
      </c>
      <c r="CQ8" s="1142">
        <f ca="1">CR8*(_xlfn.XLOOKUP(CQ$3,TabCalc[Ticker],TabCalc[M])+CS8)</f>
        <v>-12488.000000000011</v>
      </c>
      <c r="CR8" s="1145">
        <v>200</v>
      </c>
      <c r="CS8" s="1139">
        <v>-1161.69</v>
      </c>
      <c r="CT8" s="1142">
        <f ca="1">CU8*(_xlfn.XLOOKUP(CT$3,TabCalc[Ticker],TabCalc[M])+CV8)</f>
        <v>0</v>
      </c>
      <c r="CU8" s="1145"/>
      <c r="CV8" s="1139"/>
      <c r="CW8" s="1142">
        <f ca="1">CX8*(_xlfn.XLOOKUP(CW$3,TabCalc[Ticker],TabCalc[M])+CY8)</f>
        <v>-1500.1499999999944</v>
      </c>
      <c r="CX8" s="1145">
        <v>1500</v>
      </c>
      <c r="CY8" s="1139">
        <v>-35.72</v>
      </c>
      <c r="CZ8" s="1142">
        <f ca="1">DA8*(_xlfn.XLOOKUP(CZ$3,TabCalc[Ticker],TabCalc[M])+DB8)</f>
        <v>0</v>
      </c>
      <c r="DA8" s="1145"/>
      <c r="DB8" s="1139"/>
      <c r="DC8" s="1142">
        <f ca="1">DD8*(_xlfn.XLOOKUP(DC$3,TabCalc[Ticker],TabCalc[M])+DE8)</f>
        <v>-36026.006666666646</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-34099.999999999993</v>
      </c>
      <c r="DP8" s="1145">
        <v>1000</v>
      </c>
      <c r="DQ8" s="1139">
        <v>-249.75</v>
      </c>
      <c r="DR8" s="1142">
        <f ca="1">DS8*(_xlfn.XLOOKUP(DR$3,TabCalc[Ticker],TabCalc[M])+DT8)</f>
        <v>-2279.9999999999995</v>
      </c>
      <c r="DS8" s="1145">
        <v>3000</v>
      </c>
      <c r="DT8" s="1139">
        <v>-15.45</v>
      </c>
      <c r="DU8" s="1142">
        <f ca="1">DV8*(_xlfn.XLOOKUP(DU$3,TabCalc[Ticker],TabCalc[M])+DW8)</f>
        <v>-316683.29000000004</v>
      </c>
      <c r="DV8" s="1145">
        <v>7000</v>
      </c>
      <c r="DW8" s="1139">
        <v>-54.700470000000003</v>
      </c>
      <c r="DX8" s="1142">
        <f ca="1">DY8*(_xlfn.XLOOKUP(DX$3,TabCalc[Ticker],TabCalc[M])+DZ8)</f>
        <v>0</v>
      </c>
      <c r="DY8" s="1144"/>
      <c r="DZ8" s="1139"/>
      <c r="EA8" s="1142">
        <f ca="1">EB8*(_xlfn.XLOOKUP(EA$3,TabCalc[Ticker],TabCalc[M])+EC8)</f>
        <v>50600.000000000022</v>
      </c>
      <c r="EB8" s="1145">
        <v>1000</v>
      </c>
      <c r="EC8" s="1139">
        <v>-235.25</v>
      </c>
      <c r="ED8" s="1142">
        <f ca="1">EE8*(_xlfn.XLOOKUP(ED$3,TabCalc[Ticker],TabCalc[M])+EF8)</f>
        <v>-29502.514999999996</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-1800.0000000000114</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-864.94800000000009</v>
      </c>
      <c r="FF8" s="1145">
        <v>2942</v>
      </c>
      <c r="FG8" s="1139">
        <v>-1.0740000000000001</v>
      </c>
      <c r="FH8" s="1142">
        <f ca="1">FI8*(_xlfn.XLOOKUP(FH$3,TabCalc[Ticker],TabCalc[M])+FJ8)</f>
        <v>0</v>
      </c>
      <c r="FI8" s="1145"/>
      <c r="FJ8" s="1139"/>
      <c r="FK8" s="1142">
        <f ca="1">FL8*(_xlfn.XLOOKUP(FK$3,TabCalc[Ticker],TabCalc[M])+FM8)</f>
        <v>-46600.000000000007</v>
      </c>
      <c r="FL8" s="1145">
        <v>4000</v>
      </c>
      <c r="FM8" s="1139">
        <v>-34.99</v>
      </c>
      <c r="FN8" s="1142">
        <f ca="1">FO8*(_xlfn.XLOOKUP(FN$3,TabCalc[Ticker],TabCalc[M])+FP8)</f>
        <v>0</v>
      </c>
      <c r="FO8" s="1145"/>
      <c r="FP8" s="1139"/>
      <c r="FQ8" s="1142">
        <f ca="1">FR8*(_xlfn.XLOOKUP(FQ$3,TabCalc[Ticker],TabCalc[M])+FS8)</f>
        <v>9608.0000000000036</v>
      </c>
      <c r="FR8" s="1145">
        <v>4000</v>
      </c>
      <c r="FS8" s="1139">
        <v>-13.53</v>
      </c>
      <c r="FT8" s="1142">
        <f ca="1">FU8*(_xlfn.XLOOKUP(FT$3,TabCalc[Ticker],TabCalc[M])+FV8)</f>
        <v>0</v>
      </c>
      <c r="FU8" s="1145"/>
      <c r="FV8" s="1139"/>
      <c r="FW8" s="1142">
        <f ca="1">FX8*(_xlfn.XLOOKUP(FW$3,TabCalc[Ticker],TabCalc[M])+FY8)</f>
        <v>-79.999999999998295</v>
      </c>
      <c r="FX8" s="1145">
        <v>2000</v>
      </c>
      <c r="FY8" s="1139">
        <v>-54.68</v>
      </c>
      <c r="FZ8" s="1142">
        <f ca="1">GA8*(_xlfn.XLOOKUP(FZ$3,TabCalc[Ticker],TabCalc[M])+GB8)</f>
        <v>-555.00000000000148</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-244.08000000000004</v>
      </c>
      <c r="GJ8" s="1145">
        <v>12</v>
      </c>
      <c r="GK8" s="1139">
        <v>-48.84</v>
      </c>
      <c r="GL8" s="1142">
        <f ca="1">GM8*(_xlfn.XLOOKUP(GL$3,TabCalc[Ticker],TabCalc[M])+GN8)</f>
        <v>0</v>
      </c>
      <c r="GM8" s="1144"/>
      <c r="GN8" s="1139"/>
      <c r="GO8" s="1142">
        <f ca="1">GP8*(_xlfn.XLOOKUP(GO$3,TabCalc[Ticker],TabCalc[M])+GQ8)</f>
        <v>1912.5000000000014</v>
      </c>
      <c r="GP8" s="1145">
        <v>250</v>
      </c>
      <c r="GQ8" s="1139">
        <v>-236.91</v>
      </c>
      <c r="GR8" s="1142">
        <f ca="1">GS8*(_xlfn.XLOOKUP(GR$3,TabCalc[Ticker],TabCalc[M])+GT8)</f>
        <v>0</v>
      </c>
      <c r="GS8" s="1144"/>
      <c r="GT8" s="1139"/>
      <c r="GU8" s="1142">
        <f ca="1">GV8*(_xlfn.XLOOKUP(GU$3,TabCalc[Ticker],TabCalc[M])+GW8)</f>
        <v>-24290</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-9515.7150000000001</v>
      </c>
      <c r="HH8" s="1145">
        <v>101</v>
      </c>
      <c r="HI8" s="1139">
        <v>-118.74</v>
      </c>
      <c r="HJ8" s="1142">
        <f ca="1">HK8*(_xlfn.XLOOKUP(HJ$3,TabCalc[Ticker],TabCalc[M])+HL8)</f>
        <v>-21535.499999999996</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-21190.7</v>
      </c>
      <c r="IX8" s="1145">
        <v>1000</v>
      </c>
      <c r="IY8" s="1139">
        <v>-62.38</v>
      </c>
      <c r="IZ8" s="1142">
        <f ca="1">JA8*(_xlfn.XLOOKUP(IZ$3,TabCalc[Ticker],TabCalc[M])+JB8)</f>
        <v>0</v>
      </c>
      <c r="JA8" s="1144"/>
      <c r="JB8" s="1139"/>
      <c r="JC8" s="1142">
        <f ca="1">JD8*(_xlfn.XLOOKUP(JC$3,TabCalc[Ticker],TabCalc[M])+JE8)</f>
        <v>-9485.0000000000036</v>
      </c>
      <c r="JD8" s="1145">
        <v>7000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1081.4999999999968</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5674.9999999999991</v>
      </c>
      <c r="JY8" s="1145">
        <v>5000</v>
      </c>
      <c r="JZ8" s="1146">
        <v>-14.97</v>
      </c>
    </row>
    <row r="9" spans="1:301" x14ac:dyDescent="0.3">
      <c r="A9">
        <v>6</v>
      </c>
      <c r="B9" s="1142">
        <f ca="1">C9*(_xlfn.XLOOKUP(B$3,TabCalc[Ticker],TabCalc[M])+D9)</f>
        <v>198738.39000000007</v>
      </c>
      <c r="C9" s="1145">
        <v>3000</v>
      </c>
      <c r="D9" s="1139">
        <v>-201.75086999999999</v>
      </c>
      <c r="E9" s="1142">
        <f ca="1">F9*(_xlfn.XLOOKUP(E$3,TabCalc[Ticker],TabCalc[M])+G9)</f>
        <v>0</v>
      </c>
      <c r="F9" s="1145"/>
      <c r="G9" s="1139"/>
      <c r="H9" s="1142">
        <f ca="1">I9*(_xlfn.XLOOKUP(H$3,TabCalc[Ticker],TabCalc[M])+J9)</f>
        <v>-25999.999999999942</v>
      </c>
      <c r="I9" s="1145">
        <v>20000</v>
      </c>
      <c r="J9" s="1139">
        <v>-46</v>
      </c>
      <c r="K9" s="1142">
        <f ca="1">L9*(_xlfn.XLOOKUP(K$3,TabCalc[Ticker],TabCalc[M])+M9)</f>
        <v>25870.000000000004</v>
      </c>
      <c r="L9" s="1145">
        <v>500</v>
      </c>
      <c r="M9" s="1139">
        <v>-192.82</v>
      </c>
      <c r="N9" s="1142">
        <f ca="1">O9*(_xlfn.XLOOKUP(N$3,TabCalc[Ticker],TabCalc[M])+P9)</f>
        <v>-949224.63876371703</v>
      </c>
      <c r="O9" s="1145">
        <v>2448050</v>
      </c>
      <c r="P9" s="1139">
        <v>-1.1677472432195899</v>
      </c>
      <c r="Q9" s="1142">
        <f ca="1">R9*(_xlfn.XLOOKUP(Q$3,TabCalc[Ticker],TabCalc[M])+S9)</f>
        <v>71400</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-23924.999999999996</v>
      </c>
      <c r="AP9" s="1145">
        <v>15000</v>
      </c>
      <c r="AQ9" s="1139">
        <v>-3.82</v>
      </c>
      <c r="AR9" s="1142">
        <f ca="1">AS9*(_xlfn.XLOOKUP(AR$3,TabCalc[Ticker],TabCalc[M])+AT9)</f>
        <v>0</v>
      </c>
      <c r="AS9" s="1145"/>
      <c r="AT9" s="1139"/>
      <c r="AU9" s="1142">
        <f ca="1">AV9*(_xlfn.XLOOKUP(AU$3,TabCalc[Ticker],TabCalc[M])+AW9)</f>
        <v>-7720.0000000000009</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-1824.0000000000036</v>
      </c>
      <c r="BN9" s="1145">
        <v>1200</v>
      </c>
      <c r="BO9" s="1139">
        <v>-24.92</v>
      </c>
      <c r="BP9" s="1142">
        <f ca="1">BQ9*(_xlfn.XLOOKUP(BP$3,TabCalc[Ticker],TabCalc[M])+BR9)</f>
        <v>0</v>
      </c>
      <c r="BQ9" s="1144"/>
      <c r="BR9" s="1139"/>
      <c r="BS9" s="1142">
        <f ca="1">BT9*(_xlfn.XLOOKUP(BS$3,TabCalc[Ticker],TabCalc[M])+BU9)</f>
        <v>291999.99999999988</v>
      </c>
      <c r="BT9" s="1145">
        <v>10000</v>
      </c>
      <c r="BU9" s="1139">
        <v>-337</v>
      </c>
      <c r="BV9" s="1142">
        <f ca="1">BW9*(_xlfn.XLOOKUP(BV$3,TabCalc[Ticker],TabCalc[M])+BX9)</f>
        <v>-5460.5000000000036</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-97446</v>
      </c>
      <c r="CF9" s="1145">
        <v>1000</v>
      </c>
      <c r="CG9" s="1139">
        <v>-121.971</v>
      </c>
      <c r="CH9" s="1142">
        <f ca="1">CI9*(_xlfn.XLOOKUP(CH$3,TabCalc[Ticker],TabCalc[M])+CJ9)</f>
        <v>100781.99999999999</v>
      </c>
      <c r="CI9" s="1145">
        <v>1000</v>
      </c>
      <c r="CJ9" s="1139">
        <v>-396.84800000000001</v>
      </c>
      <c r="CK9" s="1142">
        <f ca="1">CL9*(_xlfn.XLOOKUP(CK$3,TabCalc[Ticker],TabCalc[M])+CM9)</f>
        <v>0</v>
      </c>
      <c r="CL9" s="1145"/>
      <c r="CM9" s="1139"/>
      <c r="CN9" s="1142">
        <f ca="1">CO9*(_xlfn.XLOOKUP(CN$3,TabCalc[Ticker],TabCalc[M])+CP9)</f>
        <v>63040.249999999985</v>
      </c>
      <c r="CO9" s="1145">
        <v>2000</v>
      </c>
      <c r="CP9" s="1139">
        <v>-51.829875000000001</v>
      </c>
      <c r="CQ9" s="1142">
        <f ca="1">CR9*(_xlfn.XLOOKUP(CQ$3,TabCalc[Ticker],TabCalc[M])+CS9)</f>
        <v>-8041.0000000000082</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-860.04999999999973</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-17599.999999999993</v>
      </c>
      <c r="DP9" s="1145">
        <v>500</v>
      </c>
      <c r="DQ9" s="1139">
        <v>-250.85</v>
      </c>
      <c r="DR9" s="1142">
        <f ca="1">DS9*(_xlfn.XLOOKUP(DR$3,TabCalc[Ticker],TabCalc[M])+DT9)</f>
        <v>-5160.0000000000018</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22230.000000000018</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-900.00000000000568</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-1500.0000000000002</v>
      </c>
      <c r="FF9" s="1145">
        <v>5000</v>
      </c>
      <c r="FG9" s="1139">
        <v>-1.08</v>
      </c>
      <c r="FH9" s="1142">
        <f ca="1">FI9*(_xlfn.XLOOKUP(FH$3,TabCalc[Ticker],TabCalc[M])+FJ9)</f>
        <v>0</v>
      </c>
      <c r="FI9" s="1145"/>
      <c r="FJ9" s="1139"/>
      <c r="FK9" s="1142">
        <f ca="1">FL9*(_xlfn.XLOOKUP(FK$3,TabCalc[Ticker],TabCalc[M])+FM9)</f>
        <v>-24199.999999999996</v>
      </c>
      <c r="FL9" s="1145">
        <v>2000</v>
      </c>
      <c r="FM9" s="1139">
        <v>-35.44</v>
      </c>
      <c r="FN9" s="1142">
        <f ca="1">FO9*(_xlfn.XLOOKUP(FN$3,TabCalc[Ticker],TabCalc[M])+FP9)</f>
        <v>0</v>
      </c>
      <c r="FO9" s="1144"/>
      <c r="FP9" s="1139"/>
      <c r="FQ9" s="1142">
        <f ca="1">FR9*(_xlfn.XLOOKUP(FQ$3,TabCalc[Ticker],TabCalc[M])+FS9)</f>
        <v>4007.0000000000014</v>
      </c>
      <c r="FR9" s="1145">
        <v>2000</v>
      </c>
      <c r="FS9" s="1139">
        <v>-13.9285</v>
      </c>
      <c r="FT9" s="1142">
        <f ca="1">FU9*(_xlfn.XLOOKUP(FT$3,TabCalc[Ticker],TabCalc[M])+FV9)</f>
        <v>0</v>
      </c>
      <c r="FU9" s="1145"/>
      <c r="FV9" s="1139"/>
      <c r="FW9" s="1142">
        <f ca="1">FX9*(_xlfn.XLOOKUP(FW$3,TabCalc[Ticker],TabCalc[M])+FY9)</f>
        <v>-8855.5000000000055</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-35870.000000000007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-48567.499999999993</v>
      </c>
      <c r="HH9" s="1145">
        <v>500</v>
      </c>
      <c r="HI9" s="1139">
        <v>-121.66</v>
      </c>
      <c r="HJ9" s="1142">
        <f ca="1">HK9*(_xlfn.XLOOKUP(HJ$3,TabCalc[Ticker],TabCalc[M])+HL9)</f>
        <v>-7800.4999999999991</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1672.4610000000002</v>
      </c>
      <c r="JY9" s="1145">
        <v>3000</v>
      </c>
      <c r="JZ9" s="1146">
        <v>-15.547513</v>
      </c>
    </row>
    <row r="10" spans="1:301" x14ac:dyDescent="0.3">
      <c r="A10">
        <v>7</v>
      </c>
      <c r="B10" s="1142">
        <f ca="1">C10*(_xlfn.XLOOKUP(B$3,TabCalc[Ticker],TabCalc[M])+D10)</f>
        <v>61267.000000000022</v>
      </c>
      <c r="C10" s="1145">
        <v>1000</v>
      </c>
      <c r="D10" s="1139">
        <v>-206.73</v>
      </c>
      <c r="E10" s="1142">
        <f ca="1">F10*(_xlfn.XLOOKUP(E$3,TabCalc[Ticker],TabCalc[M])+G10)</f>
        <v>0</v>
      </c>
      <c r="F10" s="1145"/>
      <c r="G10" s="1139"/>
      <c r="H10" s="1142">
        <f ca="1">I10*(_xlfn.XLOOKUP(H$3,TabCalc[Ticker],TabCalc[M])+J10)</f>
        <v>-12599.99999999998</v>
      </c>
      <c r="I10" s="1145">
        <v>7000</v>
      </c>
      <c r="J10" s="1139">
        <v>-46.5</v>
      </c>
      <c r="K10" s="1142">
        <f ca="1">L10*(_xlfn.XLOOKUP(K$3,TabCalc[Ticker],TabCalc[M])+M10)</f>
        <v>40462.500000000007</v>
      </c>
      <c r="L10" s="1145">
        <v>1000</v>
      </c>
      <c r="M10" s="1139">
        <v>-204.0975</v>
      </c>
      <c r="N10" s="1142">
        <f ca="1">O10*(_xlfn.XLOOKUP(N$3,TabCalc[Ticker],TabCalc[M])+P10)</f>
        <v>-6299.9999999999991</v>
      </c>
      <c r="O10" s="1145">
        <v>15000</v>
      </c>
      <c r="P10" s="1139">
        <v>-1.2</v>
      </c>
      <c r="Q10" s="1142">
        <f ca="1">R10*(_xlfn.XLOOKUP(Q$3,TabCalc[Ticker],TabCalc[M])+S10)</f>
        <v>23784.999999999993</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-16450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191999.99999999988</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-245112.49999999997</v>
      </c>
      <c r="CF10" s="1145">
        <v>2500</v>
      </c>
      <c r="CG10" s="1139">
        <v>-122.57</v>
      </c>
      <c r="CH10" s="1142">
        <f ca="1">CI10*(_xlfn.XLOOKUP(CH$3,TabCalc[Ticker],TabCalc[M])+CJ10)</f>
        <v>194899.40000000002</v>
      </c>
      <c r="CI10" s="1145">
        <v>2000</v>
      </c>
      <c r="CJ10" s="1139">
        <v>-400.18029999999999</v>
      </c>
      <c r="CK10" s="1142">
        <f ca="1">CL10*(_xlfn.XLOOKUP(CK$3,TabCalc[Ticker],TabCalc[M])+CM10)</f>
        <v>0</v>
      </c>
      <c r="CL10" s="1145"/>
      <c r="CM10" s="1139"/>
      <c r="CN10" s="1142">
        <f ca="1">CO10*(_xlfn.XLOOKUP(CN$3,TabCalc[Ticker],TabCalc[M])+CP10)</f>
        <v>27379.999999999996</v>
      </c>
      <c r="CO10" s="1145">
        <v>1000</v>
      </c>
      <c r="CP10" s="1139">
        <v>-55.97</v>
      </c>
      <c r="CQ10" s="1142">
        <f ca="1">CR10*(_xlfn.XLOOKUP(CQ$3,TabCalc[Ticker],TabCalc[M])+CS10)</f>
        <v>-43896</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-14222.249999999991</v>
      </c>
      <c r="DP10" s="1145">
        <v>301</v>
      </c>
      <c r="DQ10" s="1139">
        <v>-262.89999999999998</v>
      </c>
      <c r="DR10" s="1142">
        <f ca="1">DS10*(_xlfn.XLOOKUP(DR$3,TabCalc[Ticker],TabCalc[M])+DT10)</f>
        <v>-12147.840000000002</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-441.9999999999618</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-7200.0000000000173</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-3815.7902739999986</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14736.000000000004</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-19099.999999999996</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-33202</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23818.5</v>
      </c>
      <c r="C11" s="1145">
        <v>500</v>
      </c>
      <c r="D11" s="1139">
        <v>-220.36</v>
      </c>
      <c r="E11" s="1142">
        <f ca="1">F11*(_xlfn.XLOOKUP(E$3,TabCalc[Ticker],TabCalc[M])+G11)</f>
        <v>0</v>
      </c>
      <c r="F11" s="1145"/>
      <c r="G11" s="1139"/>
      <c r="H11" s="1142">
        <f ca="1">I11*(_xlfn.XLOOKUP(H$3,TabCalc[Ticker],TabCalc[M])+J11)</f>
        <v>-325999.99999999983</v>
      </c>
      <c r="I11" s="1145">
        <v>100000</v>
      </c>
      <c r="J11" s="1139">
        <v>-47.96</v>
      </c>
      <c r="K11" s="1142">
        <f ca="1">L11*(_xlfn.XLOOKUP(K$3,TabCalc[Ticker],TabCalc[M])+M11)</f>
        <v>30701.279999999999</v>
      </c>
      <c r="L11" s="1145">
        <v>800</v>
      </c>
      <c r="M11" s="1139">
        <v>-206.18340000000001</v>
      </c>
      <c r="N11" s="1142">
        <f ca="1">O11*(_xlfn.XLOOKUP(N$3,TabCalc[Ticker],TabCalc[M])+P11)</f>
        <v>-5898.3924999999999</v>
      </c>
      <c r="O11" s="1145">
        <v>2275</v>
      </c>
      <c r="P11" s="1139">
        <v>-3.3727</v>
      </c>
      <c r="Q11" s="1142">
        <f ca="1">R11*(_xlfn.XLOOKUP(Q$3,TabCalc[Ticker],TabCalc[M])+S11)</f>
        <v>45059.999999999993</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-19922.039999999997</v>
      </c>
      <c r="CF11" s="1145">
        <v>200</v>
      </c>
      <c r="CG11" s="1139">
        <v>-124.1352</v>
      </c>
      <c r="CH11" s="1142">
        <f ca="1">CI11*(_xlfn.XLOOKUP(CH$3,TabCalc[Ticker],TabCalc[M])+CJ11)</f>
        <v>28373.999999999996</v>
      </c>
      <c r="CI11" s="1145">
        <v>300</v>
      </c>
      <c r="CJ11" s="1139">
        <v>-403.05</v>
      </c>
      <c r="CK11" s="1142">
        <f ca="1">CL11*(_xlfn.XLOOKUP(CK$3,TabCalc[Ticker],TabCalc[M])+CM11)</f>
        <v>0</v>
      </c>
      <c r="CL11" s="1145"/>
      <c r="CM11" s="1139"/>
      <c r="CN11" s="1142">
        <f ca="1">CO11*(_xlfn.XLOOKUP(CN$3,TabCalc[Ticker],TabCalc[M])+CP11)</f>
        <v>8939.9999999999982</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-33480</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-1500</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-3200.0000000000005</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2776.6000000000022</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104776.80000000003</v>
      </c>
      <c r="C12" s="1145">
        <v>2400</v>
      </c>
      <c r="D12" s="1139">
        <v>-224.34</v>
      </c>
      <c r="E12" s="1142">
        <f ca="1">F12*(_xlfn.XLOOKUP(E$3,TabCalc[Ticker],TabCalc[M])+G12)</f>
        <v>0</v>
      </c>
      <c r="F12" s="1145"/>
      <c r="G12" s="1139"/>
      <c r="H12" s="1142">
        <f ca="1">I12*(_xlfn.XLOOKUP(H$3,TabCalc[Ticker],TabCalc[M])+J12)</f>
        <v>-494999.99999999959</v>
      </c>
      <c r="I12" s="1145">
        <v>150000</v>
      </c>
      <c r="J12" s="1139">
        <v>-48</v>
      </c>
      <c r="K12" s="1142">
        <f ca="1">L12*(_xlfn.XLOOKUP(K$3,TabCalc[Ticker],TabCalc[M])+M12)</f>
        <v>15790.000000000005</v>
      </c>
      <c r="L12" s="1145">
        <v>500</v>
      </c>
      <c r="M12" s="1139">
        <v>-212.98</v>
      </c>
      <c r="N12" s="1142">
        <f ca="1">O12*(_xlfn.XLOOKUP(N$3,TabCalc[Ticker],TabCalc[M])+P12)</f>
        <v>0</v>
      </c>
      <c r="O12" s="1145"/>
      <c r="P12" s="1139"/>
      <c r="Q12" s="1142">
        <f ca="1">R12*(_xlfn.XLOOKUP(Q$3,TabCalc[Ticker],TabCalc[M])+S12)</f>
        <v>67050</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88480.000000000015</v>
      </c>
      <c r="CI12" s="1145">
        <v>1000</v>
      </c>
      <c r="CJ12" s="1139">
        <v>-409.15</v>
      </c>
      <c r="CK12" s="1142">
        <f ca="1">CL12*(_xlfn.XLOOKUP(CK$3,TabCalc[Ticker],TabCalc[M])+CM12)</f>
        <v>0</v>
      </c>
      <c r="CL12" s="1145"/>
      <c r="CM12" s="1139"/>
      <c r="CN12" s="1142">
        <f ca="1">CO12*(_xlfn.XLOOKUP(CN$3,TabCalc[Ticker],TabCalc[M])+CP12)</f>
        <v>3750.9999999999905</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-1800.0000000000043</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-154062.08999999997</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2356.0000000000018</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11189.100000000008</v>
      </c>
      <c r="C13" s="1145">
        <v>300</v>
      </c>
      <c r="D13" s="1139">
        <v>-230.7</v>
      </c>
      <c r="E13" s="1142">
        <f ca="1">F13*(_xlfn.XLOOKUP(E$3,TabCalc[Ticker],TabCalc[M])+G13)</f>
        <v>0</v>
      </c>
      <c r="F13" s="1145"/>
      <c r="G13" s="1139"/>
      <c r="H13" s="1142">
        <f ca="1">I13*(_xlfn.XLOOKUP(H$3,TabCalc[Ticker],TabCalc[M])+J13)</f>
        <v>-494999.99999999959</v>
      </c>
      <c r="I13" s="1145">
        <v>150000</v>
      </c>
      <c r="J13" s="1139">
        <v>-48</v>
      </c>
      <c r="K13" s="1142">
        <f ca="1">L13*(_xlfn.XLOOKUP(K$3,TabCalc[Ticker],TabCalc[M])+M13)</f>
        <v>59079.999999999985</v>
      </c>
      <c r="L13" s="1145">
        <v>2000</v>
      </c>
      <c r="M13" s="1139">
        <v>-215.02</v>
      </c>
      <c r="N13" s="1142">
        <f ca="1">O13*(_xlfn.XLOOKUP(N$3,TabCalc[Ticker],TabCalc[M])+P13)</f>
        <v>0</v>
      </c>
      <c r="O13" s="1145"/>
      <c r="P13" s="1139"/>
      <c r="Q13" s="1142">
        <f ca="1">R13*(_xlfn.XLOOKUP(Q$3,TabCalc[Ticker],TabCalc[M])+S13)</f>
        <v>53969.999999999993</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24323.999999999996</v>
      </c>
      <c r="CI13" s="1145">
        <v>300</v>
      </c>
      <c r="CJ13" s="1139">
        <v>-416.55</v>
      </c>
      <c r="CK13" s="1142">
        <f ca="1">CL13*(_xlfn.XLOOKUP(CK$3,TabCalc[Ticker],TabCalc[M])+CM13)</f>
        <v>0</v>
      </c>
      <c r="CL13" s="1145"/>
      <c r="CM13" s="1139"/>
      <c r="CN13" s="1142">
        <f ca="1">CO13*(_xlfn.XLOOKUP(CN$3,TabCalc[Ticker],TabCalc[M])+CP13)</f>
        <v>3469.9999999999991</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-5500</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-13150</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6809.4000000000051</v>
      </c>
      <c r="C14" s="1145">
        <v>200</v>
      </c>
      <c r="D14" s="1139">
        <v>-233.95</v>
      </c>
      <c r="E14" s="1142">
        <f ca="1">F14*(_xlfn.XLOOKUP(E$3,TabCalc[Ticker],TabCalc[M])+G14)</f>
        <v>0</v>
      </c>
      <c r="F14" s="1145"/>
      <c r="G14" s="1139"/>
      <c r="H14" s="1142">
        <f ca="1">I14*(_xlfn.XLOOKUP(H$3,TabCalc[Ticker],TabCalc[M])+J14)</f>
        <v>-214999.99999999985</v>
      </c>
      <c r="I14" s="1145">
        <v>50000</v>
      </c>
      <c r="J14" s="1139">
        <v>-49</v>
      </c>
      <c r="K14" s="1142">
        <f ca="1">L14*(_xlfn.XLOOKUP(K$3,TabCalc[Ticker],TabCalc[M])+M14)</f>
        <v>14555.000000000007</v>
      </c>
      <c r="L14" s="1145">
        <v>500</v>
      </c>
      <c r="M14" s="1139">
        <v>-215.45</v>
      </c>
      <c r="N14" s="1142">
        <f ca="1">O14*(_xlfn.XLOOKUP(N$3,TabCalc[Ticker],TabCalc[M])+P14)</f>
        <v>0</v>
      </c>
      <c r="O14" s="1145"/>
      <c r="P14" s="1139"/>
      <c r="Q14" s="1142">
        <f ca="1">R14*(_xlfn.XLOOKUP(Q$3,TabCalc[Ticker],TabCalc[M])+S14)</f>
        <v>35059.999999999993</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113179.99999999996</v>
      </c>
      <c r="CI14" s="1145">
        <v>2000</v>
      </c>
      <c r="CJ14" s="1139">
        <v>-441.04</v>
      </c>
      <c r="CK14" s="1142">
        <f ca="1">CL14*(_xlfn.XLOOKUP(CK$3,TabCalc[Ticker],TabCalc[M])+CM14)</f>
        <v>0</v>
      </c>
      <c r="CL14" s="1144"/>
      <c r="CM14" s="1139"/>
      <c r="CN14" s="1142">
        <f ca="1">CO14*(_xlfn.XLOOKUP(CN$3,TabCalc[Ticker],TabCalc[M])+CP14)</f>
        <v>2469.9999999999991</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-53966.238799999999</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8297.100000000004</v>
      </c>
      <c r="C15" s="1145">
        <v>300</v>
      </c>
      <c r="D15" s="1139">
        <v>-240.34</v>
      </c>
      <c r="E15" s="1142">
        <f ca="1">F15*(_xlfn.XLOOKUP(E$3,TabCalc[Ticker],TabCalc[M])+G15)</f>
        <v>0</v>
      </c>
      <c r="F15" s="1145"/>
      <c r="G15" s="1139"/>
      <c r="H15" s="1142">
        <f ca="1">I15*(_xlfn.XLOOKUP(H$3,TabCalc[Ticker],TabCalc[M])+J15)</f>
        <v>-782189.99999999988</v>
      </c>
      <c r="I15" s="1145">
        <v>100000</v>
      </c>
      <c r="J15" s="1139">
        <v>-52.521900000000002</v>
      </c>
      <c r="K15" s="1142">
        <f ca="1">L15*(_xlfn.XLOOKUP(K$3,TabCalc[Ticker],TabCalc[M])+M15)</f>
        <v>4001.9999999999982</v>
      </c>
      <c r="L15" s="1145">
        <v>200</v>
      </c>
      <c r="M15" s="1139">
        <v>-224.55</v>
      </c>
      <c r="N15" s="1142">
        <f ca="1">O15*(_xlfn.XLOOKUP(N$3,TabCalc[Ticker],TabCalc[M])+P15)</f>
        <v>0</v>
      </c>
      <c r="O15" s="1145"/>
      <c r="P15" s="1139"/>
      <c r="Q15" s="1142">
        <f ca="1">R15*(_xlfn.XLOOKUP(Q$3,TabCalc[Ticker],TabCalc[M])+S15)</f>
        <v>16419.999999999993</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-2430.0000000000068</v>
      </c>
      <c r="CI15" s="1145">
        <v>150</v>
      </c>
      <c r="CJ15" s="1139">
        <v>-513.83000000000004</v>
      </c>
      <c r="CK15" s="1142">
        <f ca="1">CL15*(_xlfn.XLOOKUP(CK$3,TabCalc[Ticker],TabCalc[M])+CM15)</f>
        <v>0</v>
      </c>
      <c r="CL15" s="1144"/>
      <c r="CM15" s="1139"/>
      <c r="CN15" s="1142">
        <f ca="1">CO15*(_xlfn.XLOOKUP(CN$3,TabCalc[Ticker],TabCalc[M])+CP15)</f>
        <v>-303.34000000001993</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3895.4000000000005</v>
      </c>
      <c r="C16" s="1145">
        <v>200</v>
      </c>
      <c r="D16" s="1139">
        <v>-248.52</v>
      </c>
      <c r="E16" s="1142">
        <f ca="1">F16*(_xlfn.XLOOKUP(E$3,TabCalc[Ticker],TabCalc[M])+G16)</f>
        <v>0</v>
      </c>
      <c r="F16" s="1145"/>
      <c r="G16" s="1139"/>
      <c r="H16" s="1142">
        <f ca="1">I16*(_xlfn.XLOOKUP(H$3,TabCalc[Ticker],TabCalc[M])+J16)</f>
        <v>-1513979.9999999991</v>
      </c>
      <c r="I16" s="1145">
        <v>180000</v>
      </c>
      <c r="J16" s="1139">
        <v>-53.110999999999997</v>
      </c>
      <c r="K16" s="1142">
        <f ca="1">L16*(_xlfn.XLOOKUP(K$3,TabCalc[Ticker],TabCalc[M])+M16)</f>
        <v>8010.0000000000055</v>
      </c>
      <c r="L16" s="1145">
        <v>500</v>
      </c>
      <c r="M16" s="1139">
        <v>-228.54</v>
      </c>
      <c r="N16" s="1142">
        <f ca="1">O16*(_xlfn.XLOOKUP(N$3,TabCalc[Ticker],TabCalc[M])+P16)</f>
        <v>0</v>
      </c>
      <c r="O16" s="1145"/>
      <c r="P16" s="1139"/>
      <c r="Q16" s="1142">
        <f ca="1">R16*(_xlfn.XLOOKUP(Q$3,TabCalc[Ticker],TabCalc[M])+S16)</f>
        <v>15369.999999999993</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-6120.0000000000045</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7024.5000000000064</v>
      </c>
      <c r="L17" s="1145">
        <v>450</v>
      </c>
      <c r="M17" s="1139">
        <v>-228.95</v>
      </c>
      <c r="N17" s="1142">
        <f ca="1">O17*(_xlfn.XLOOKUP(N$3,TabCalc[Ticker],TabCalc[M])+P17)</f>
        <v>0</v>
      </c>
      <c r="O17" s="1145"/>
      <c r="P17" s="1139"/>
      <c r="Q17" s="1142">
        <f ca="1">R17*(_xlfn.XLOOKUP(Q$3,TabCalc[Ticker],TabCalc[M])+S17)</f>
        <v>14655.999999999995</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6222.0000000000027</v>
      </c>
      <c r="L18" s="1145">
        <v>400</v>
      </c>
      <c r="M18" s="1139">
        <v>-229.005</v>
      </c>
      <c r="N18" s="1142">
        <f ca="1">O18*(_xlfn.XLOOKUP(N$3,TabCalc[Ticker],TabCalc[M])+P18)</f>
        <v>0</v>
      </c>
      <c r="O18" s="1145"/>
      <c r="P18" s="1139"/>
      <c r="Q18" s="1142">
        <f ca="1">R18*(_xlfn.XLOOKUP(Q$3,TabCalc[Ticker],TabCalc[M])+S18)</f>
        <v>13179.999999999996</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2917.5000000000041</v>
      </c>
      <c r="L19" s="1145">
        <v>250</v>
      </c>
      <c r="M19" s="1139">
        <v>-232.89</v>
      </c>
      <c r="N19" s="1142">
        <f ca="1">O19*(_xlfn.XLOOKUP(N$3,TabCalc[Ticker],TabCalc[M])+P19)</f>
        <v>0</v>
      </c>
      <c r="O19" s="1144"/>
      <c r="P19" s="1139"/>
      <c r="Q19" s="1142">
        <f ca="1">R19*(_xlfn.XLOOKUP(Q$3,TabCalc[Ticker],TabCalc[M])+S19)</f>
        <v>11379.999999999996</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3140.9999999999968</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531793.89005597855</v>
      </c>
      <c r="C37" s="1301">
        <f>SUBTOTAL(109,TabConsolid[AAPL1])</f>
        <v>9500.0000010000003</v>
      </c>
      <c r="D37" s="1302">
        <f>SUBTOTAL(101,TabConsolid[AAPL2])</f>
        <v>-216.09535121457489</v>
      </c>
      <c r="E37" s="1151">
        <f ca="1">SUBTOTAL(109,TabConsolid[ADEA])</f>
        <v>4851.1000009702229</v>
      </c>
      <c r="F37" s="1301">
        <f>SUBTOTAL(109,TabConsolid[ADEA1])</f>
        <v>5000.0000010000003</v>
      </c>
      <c r="G37" s="1302">
        <f>SUBTOTAL(101,TabConsolid[ADEA2])</f>
        <v>-13.346195</v>
      </c>
      <c r="H37" s="1151">
        <f ca="1">SUBTOTAL(109,TabConsolid[AET])</f>
        <v>-3720362.8807045342</v>
      </c>
      <c r="I37" s="1301">
        <f>SUBTOTAL(109,TabConsolid[AET1])</f>
        <v>820000.00000100001</v>
      </c>
      <c r="J37" s="1302">
        <f>SUBTOTAL(101,TabConsolid[AET2])</f>
        <v>-47.194938300253277</v>
      </c>
      <c r="K37" s="1151">
        <f ca="1">SUBTOTAL(109,TabConsolid[AMZN])</f>
        <v>496817.22004140145</v>
      </c>
      <c r="L37" s="1301">
        <f>SUBTOTAL(109,TabConsolid[AMZN1])</f>
        <v>12000.000001</v>
      </c>
      <c r="M37" s="1302">
        <f>SUBTOTAL(101,TabConsolid[AMZN2])</f>
        <v>-208.8289744117647</v>
      </c>
      <c r="N37" s="1151">
        <f ca="1">SUBTOTAL(109,TabConsolid[ALDNE])</f>
        <v>-979021.04126410396</v>
      </c>
      <c r="O37" s="1301">
        <f>SUBTOTAL(109,TabConsolid[ALDNE1])</f>
        <v>2530000.0000009998</v>
      </c>
      <c r="P37" s="1302">
        <f>SUBTOTAL(101,TabConsolid[ALDNE2])</f>
        <v>-1.3916734477079684</v>
      </c>
      <c r="Q37" s="1151">
        <f ca="1">SUBTOTAL(109,TabConsolid[ASML])</f>
        <v>761256.00021145993</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23849.990868142835</v>
      </c>
      <c r="GM37" s="1301">
        <f>SUBTOTAL(109,TabConsolid[SAFAAPL1])</f>
        <v>350.000001</v>
      </c>
      <c r="GN37" s="1302">
        <f>SUBTOTAL(101,TabConsolid[SAFAAPL2])</f>
        <v>-201.20116304761905</v>
      </c>
      <c r="GO37" s="1151">
        <f ca="1">SUBTOTAL(109,TabConsolid[SAFAMZN])</f>
        <v>59790.000039859995</v>
      </c>
      <c r="GP37" s="1301">
        <f>SUBTOTAL(109,TabConsolid[SAFAMZN1])</f>
        <v>1500.0000009999999</v>
      </c>
      <c r="GQ37" s="1302">
        <f>SUBTOTAL(101,TabConsolid[SAFAMZN2])</f>
        <v>-206.8</v>
      </c>
      <c r="GR37" s="1151">
        <f ca="1">SUBTOTAL(109,TabConsolid[SAFASML])</f>
        <v>54106.762216427043</v>
      </c>
      <c r="GS37" s="1301">
        <f>SUBTOTAL(109,TabConsolid[SAFASML1])</f>
        <v>250.000001</v>
      </c>
      <c r="GT37" s="1302">
        <f>SUBTOTAL(101,TabConsolid[SAFASML2])</f>
        <v>-648.63138800000002</v>
      </c>
      <c r="GU37" s="1151">
        <f ca="1">SUBTOTAL(109,TabConsolid[SAFDDD])</f>
        <v>-116401.5000010582</v>
      </c>
      <c r="GV37" s="1301">
        <f>SUBTOTAL(109,TabConsolid[SAFDDD1])</f>
        <v>110000.00000100001</v>
      </c>
      <c r="GW37" s="1302">
        <f>SUBTOTAL(101,TabConsolid[SAFDDD2])</f>
        <v>-3.4038564935064932</v>
      </c>
      <c r="GX37" s="1151">
        <f ca="1">SUBTOTAL(109,TabConsolid[SAFDIS])</f>
        <v>227.90000018991964</v>
      </c>
      <c r="GY37" s="1301">
        <f>SUBTOTAL(109,TabConsolid[SAFDIS1])</f>
        <v>1200.0000009999999</v>
      </c>
      <c r="GZ37" s="1302">
        <f>SUBTOTAL(101,TabConsolid[SAFDIS2])</f>
        <v>-110.71002777777778</v>
      </c>
      <c r="HA37" s="1151">
        <f ca="1">SUBTOTAL(109,TabConsolid[SAFGM])</f>
        <v>7.0659999999999991E-5</v>
      </c>
      <c r="HB37" s="1301">
        <f>SUBTOTAL(109,TabConsolid[SAFGM1])</f>
        <v>9.9999999999999995E-7</v>
      </c>
      <c r="HC37" s="1302" t="e">
        <f>SUBTOTAL(101,TabConsolid[SAFGM2])</f>
        <v>#DIV/0!</v>
      </c>
      <c r="HD37" s="1151">
        <f ca="1">SUBTOTAL(109,TabConsolid[SAFIAG])</f>
        <v>3.6619999999999996E-4</v>
      </c>
      <c r="HE37" s="1302">
        <f>SUBTOTAL(109,TabConsolid[SAFIAG1])</f>
        <v>9.9999999999999995E-7</v>
      </c>
      <c r="HF37" s="88" t="e">
        <f>SUBTOTAL(101,TabConsolid[SAFIAG2])</f>
        <v>#DIV/0!</v>
      </c>
      <c r="HG37" s="1151">
        <f ca="1">SUBTOTAL(109,TabConsolid[SAFMRNA])</f>
        <v>-186045.57553720914</v>
      </c>
      <c r="HH37" s="1301">
        <f>SUBTOTAL(109,TabConsolid[SAFMRNA1])</f>
        <v>5000.0000010000003</v>
      </c>
      <c r="HI37" s="1302">
        <f>SUBTOTAL(101,TabConsolid[SAFMRNA2])</f>
        <v>-88.492152516666678</v>
      </c>
      <c r="HJ37" s="1151">
        <f ca="1">SUBTOTAL(109,TabConsolid[BLNK])</f>
        <v>-72826.000000606873</v>
      </c>
      <c r="HK37" s="1301">
        <f>SUBTOTAL(109,TabConsolid[BLNK1])</f>
        <v>120000.00000100001</v>
      </c>
      <c r="HL37" s="1302">
        <f>SUBTOTAL(101,TabConsolid[BLNK2])</f>
        <v>-2.4977690476190477</v>
      </c>
      <c r="HM37" s="1151">
        <f ca="1">SUBTOTAL(109,TabConsolid[ENI])</f>
        <v>17704.500001041455</v>
      </c>
      <c r="HN37" s="1301">
        <f>SUBTOTAL(109,TabConsolid[ENI1])</f>
        <v>17000.000001</v>
      </c>
      <c r="HO37" s="1302">
        <f>SUBTOTAL(101,TabConsolid[ENI2])</f>
        <v>-14.893519607843137</v>
      </c>
      <c r="HP37" s="1151">
        <f ca="1">SUBTOTAL(109,TabConsolid[EZJ])</f>
        <v>312800.00001042639</v>
      </c>
      <c r="HQ37" s="1301">
        <f>SUBTOTAL(109,TabConsolid[EZJ1])</f>
        <v>30000.000001</v>
      </c>
      <c r="HR37" s="1302">
        <f>SUBTOTAL(101,TabConsolid[EZJ2])</f>
        <v>-464.29444444444442</v>
      </c>
      <c r="HS37" s="1151">
        <f ca="1">SUBTOTAL(109,TabConsolid[F])</f>
        <v>1.3205E-5</v>
      </c>
      <c r="HT37" s="1301">
        <f>SUBTOTAL(109,TabConsolid[F1])</f>
        <v>9.9999999999999995E-7</v>
      </c>
      <c r="HU37" s="1302" t="e">
        <f>SUBTOTAL(101,TabConsolid[F2])</f>
        <v>#DIV/0!</v>
      </c>
      <c r="HV37" s="1151">
        <f ca="1">SUBTOTAL(109,TabConsolid[GLE])</f>
        <v>5.4639999999999999E-5</v>
      </c>
      <c r="HW37" s="1301">
        <f>SUBTOTAL(109,TabConsolid[GLE1])</f>
        <v>9.9999999999999995E-7</v>
      </c>
      <c r="HX37" s="1302" t="e">
        <f>SUBTOTAL(101,TabConsolid[GLE2])</f>
        <v>#DIV/0!</v>
      </c>
      <c r="HY37" s="1151">
        <f ca="1">SUBTOTAL(109,TabConsolid[GNRC])</f>
        <v>-23686.000026317764</v>
      </c>
      <c r="HZ37" s="1301">
        <f>SUBTOTAL(109,TabConsolid[GNRC1])</f>
        <v>900.000001</v>
      </c>
      <c r="IA37" s="1302">
        <f>SUBTOTAL(101,TabConsolid[GNRC2])</f>
        <v>-179.29694444444442</v>
      </c>
      <c r="IB37" s="1151">
        <f ca="1">SUBTOTAL(109,TabConsolid[GS])</f>
        <v>7.8535499999999995E-4</v>
      </c>
      <c r="IC37" s="1301">
        <f>SUBTOTAL(109,TabConsolid[GS1])</f>
        <v>9.9999999999999995E-7</v>
      </c>
      <c r="ID37" s="1302" t="e">
        <f>SUBTOTAL(101,TabConsolid[GS2])</f>
        <v>#DIV/0!</v>
      </c>
      <c r="IE37" s="1151">
        <f ca="1">SUBTOTAL(109,TabConsolid[LAZR])</f>
        <v>-317068.93002043234</v>
      </c>
      <c r="IF37" s="1301">
        <f>SUBTOTAL(109,TabConsolid[LAZR1])</f>
        <v>15518.000001</v>
      </c>
      <c r="IG37" s="1302">
        <f>SUBTOTAL(101,TabConsolid[LAZR2])</f>
        <v>-29.534333032607293</v>
      </c>
      <c r="IH37" s="1151">
        <f ca="1">SUBTOTAL(109,TabConsolid[LUV])</f>
        <v>2001.1200016676044</v>
      </c>
      <c r="II37" s="1301">
        <f>SUBTOTAL(109,TabConsolid[LUV1])</f>
        <v>1200.0000010000001</v>
      </c>
      <c r="IJ37" s="1302">
        <f>SUBTOTAL(101,TabConsolid[LUV2])</f>
        <v>-30.697399999999998</v>
      </c>
      <c r="IK37" s="1151">
        <f ca="1">SUBTOTAL(109,TabConsolid[MA])</f>
        <v>-1010.0000050500023</v>
      </c>
      <c r="IL37" s="1301">
        <f>SUBTOTAL(109,TabConsolid[MA1])</f>
        <v>200.000001</v>
      </c>
      <c r="IM37" s="1302">
        <f>SUBTOTAL(101,TabConsolid[MA2])</f>
        <v>-556.34999999999991</v>
      </c>
      <c r="IN37" s="1151">
        <f ca="1">SUBTOTAL(109,TabConsolid[NVAX])</f>
        <v>-6390.9000009832125</v>
      </c>
      <c r="IO37" s="1301">
        <f>SUBTOTAL(109,TabConsolid[NVAX1])</f>
        <v>6500.0000010000003</v>
      </c>
      <c r="IP37" s="1302">
        <f>SUBTOTAL(101,TabConsolid[NVAX2])</f>
        <v>-7.8269717948717945</v>
      </c>
      <c r="IQ37" s="1151">
        <f ca="1">SUBTOTAL(109,TabConsolid[NVS])</f>
        <v>1.2644999999999998E-4</v>
      </c>
      <c r="IR37" s="1301">
        <f>SUBTOTAL(109,TabConsolid[NVS1])</f>
        <v>9.9999999999999995E-7</v>
      </c>
      <c r="IS37" s="1302" t="e">
        <f>SUBTOTAL(101,TabConsolid[NVS2])</f>
        <v>#DIV/0!</v>
      </c>
      <c r="IT37" s="1151">
        <f ca="1">SUBTOTAL(109,TabConsolid[ORA])</f>
        <v>504.00000041999988</v>
      </c>
      <c r="IU37" s="1301">
        <f>SUBTOTAL(109,TabConsolid[ORA1])</f>
        <v>1200.0000010000001</v>
      </c>
      <c r="IV37" s="1302">
        <f>SUBTOTAL(101,TabConsolid[ORA2])</f>
        <v>-13.744999999999999</v>
      </c>
      <c r="IW37" s="1151">
        <f ca="1">SUBTOTAL(109,TabConsolid[OXY])</f>
        <v>-52580.700013145179</v>
      </c>
      <c r="IX37" s="1301">
        <f>SUBTOTAL(109,TabConsolid[OXY1])</f>
        <v>4000.0000009999999</v>
      </c>
      <c r="IY37" s="1302">
        <f>SUBTOTAL(101,TabConsolid[OXY2])</f>
        <v>-54.12469500000001</v>
      </c>
      <c r="IZ37" s="1151">
        <f ca="1">SUBTOTAL(109,TabConsolid[PFE])</f>
        <v>-904.0000005650021</v>
      </c>
      <c r="JA37" s="1301">
        <f>SUBTOTAL(109,TabConsolid[PFE1])</f>
        <v>1600.0000010000001</v>
      </c>
      <c r="JB37" s="1302">
        <f>SUBTOTAL(101,TabConsolid[PFE2])</f>
        <v>-24.94</v>
      </c>
      <c r="JC37" s="1151">
        <f ca="1">SUBTOTAL(109,TabConsolid[RIG])</f>
        <v>21835.000000454893</v>
      </c>
      <c r="JD37" s="1301">
        <f>SUBTOTAL(109,TabConsolid[RIG1])</f>
        <v>48000.000001</v>
      </c>
      <c r="JE37" s="1302">
        <f>SUBTOTAL(109,TabConsolid[RIG2])</f>
        <v>-18.940104166666668</v>
      </c>
      <c r="JF37" s="1151">
        <f ca="1">SUBTOTAL(109,TabConsolid[RRC])</f>
        <v>3.7429999999999999E-5</v>
      </c>
      <c r="JG37" s="1301">
        <f>SUBTOTAL(109,TabConsolid[RRC1])</f>
        <v>9.9999999999999995E-7</v>
      </c>
      <c r="JH37" s="1302" t="e">
        <f>SUBTOTAL(101,TabConsolid[RRC2])</f>
        <v>#DIV/0!</v>
      </c>
      <c r="JI37" s="1151">
        <f ca="1">SUBTOTAL(109,TabConsolid[XYZ])</f>
        <v>-6852.0000114200011</v>
      </c>
      <c r="JJ37" s="1301">
        <f>SUBTOTAL(109,TabConsolid[XYZ1])</f>
        <v>600.000001</v>
      </c>
      <c r="JK37" s="1302">
        <f>SUBTOTAL(101,TabConsolid[XYZ2])</f>
        <v>-76.94</v>
      </c>
      <c r="JL37" s="1151">
        <f ca="1">SUBTOTAL(109,TabConsolid[THC])</f>
        <v>66545.615044363731</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372701.40000483394</v>
      </c>
      <c r="JS37" s="1301">
        <f>SUBTOTAL(109,TabConsolid[LOCK1])</f>
        <v>77100.000000999993</v>
      </c>
      <c r="JT37" s="1302">
        <f>SUBTOTAL(101,TabConsolid[LOCK2])</f>
        <v>-5.34</v>
      </c>
      <c r="JU37" s="1151">
        <f ca="1">SUBTOTAL(109,TabConsolid[JBASML])</f>
        <v>29412.000147059989</v>
      </c>
      <c r="JV37" s="1300">
        <f>SUBTOTAL(109,TabConsolid[JBASML1])</f>
        <v>200.000001</v>
      </c>
      <c r="JW37" s="1302">
        <f>SUBTOTAL(101,TabConsolid[JBASML2])</f>
        <v>-723.74</v>
      </c>
      <c r="JX37" s="1151">
        <f ca="1">SUBTOTAL(109,TabConsolid[JBEOAN])</f>
        <v>31822.461001767912</v>
      </c>
      <c r="JY37" s="1301">
        <f>SUBTOTAL(109,TabConsolid[JBEOAN1])</f>
        <v>18000.000001</v>
      </c>
      <c r="JZ37" s="1299">
        <f>SUBTOTAL(101,TabConsolid[JBEOAN2])</f>
        <v>-14.234933083333333</v>
      </c>
    </row>
    <row r="38" spans="1:289" x14ac:dyDescent="0.3">
      <c r="A38">
        <v>35</v>
      </c>
      <c r="B38" s="1151"/>
      <c r="C38" s="1303">
        <f ca="1">C37*_xlfn.XLOOKUP(B$3,TabCalc[Ticker],TabCalc[M])</f>
        <v>2545971.5002679974</v>
      </c>
      <c r="D38" s="1140"/>
      <c r="E38" s="1151"/>
      <c r="F38" s="1303">
        <f ca="1">F37*_xlfn.XLOOKUP(E$3,TabCalc[Ticker],TabCalc[M])</f>
        <v>70225.000014044999</v>
      </c>
      <c r="G38" s="1140"/>
      <c r="H38" s="1151"/>
      <c r="I38" s="1303">
        <f ca="1">I37*_xlfn.XLOOKUP(H$3,TabCalc[Ticker],TabCalc[M])</f>
        <v>36654000.000044703</v>
      </c>
      <c r="J38" s="1140"/>
      <c r="K38" s="1151"/>
      <c r="L38" s="1303">
        <f ca="1">L37*_xlfn.XLOOKUP(K$3,TabCalc[Ticker],TabCalc[M])</f>
        <v>2934720.0002445602</v>
      </c>
      <c r="M38" s="1140"/>
      <c r="N38" s="1151"/>
      <c r="O38" s="1303">
        <f ca="1">O37*_xlfn.XLOOKUP(N$3,TabCalc[Ticker],TabCalc[M])</f>
        <v>1973400.00000078</v>
      </c>
      <c r="P38" s="1140"/>
      <c r="Q38" s="1151"/>
      <c r="R38" s="1303">
        <f ca="1">R37*_xlfn.XLOOKUP(Q$3,TabCalc[Ticker],TabCalc[M])</f>
        <v>3134880.0008707996</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93798.950267997003</v>
      </c>
      <c r="GN38" s="1140"/>
      <c r="GO38" s="1151"/>
      <c r="GP38" s="1303">
        <f ca="1">GP37*_xlfn.XLOOKUP(GO$3,TabCalc[Ticker],TabCalc[M])</f>
        <v>366840.00024455995</v>
      </c>
      <c r="GQ38" s="1140"/>
      <c r="GR38" s="1151"/>
      <c r="GS38" s="1303">
        <f ca="1">GS37*_xlfn.XLOOKUP(GR$3,TabCalc[Ticker],TabCalc[M])</f>
        <v>217700.0008708</v>
      </c>
      <c r="GT38" s="1140"/>
      <c r="GU38" s="1151"/>
      <c r="GV38" s="1303">
        <f ca="1">GV37*_xlfn.XLOOKUP(GU$3,TabCalc[Ticker],TabCalc[M])</f>
        <v>244750.00000222502</v>
      </c>
      <c r="GW38" s="1140"/>
      <c r="GX38" s="1151"/>
      <c r="GY38" s="1303">
        <f ca="1">GY37*_xlfn.XLOOKUP(GX$3,TabCalc[Ticker],TabCalc[M])</f>
        <v>132876.00011073</v>
      </c>
      <c r="GZ38" s="1140"/>
      <c r="HA38" s="1151"/>
      <c r="HB38" s="1303">
        <f ca="1">HB37*_xlfn.XLOOKUP(HA$3,TabCalc[Ticker],TabCalc[M])</f>
        <v>7.0659999999999991E-5</v>
      </c>
      <c r="HC38" s="1140"/>
      <c r="HD38" s="1151"/>
      <c r="HE38" s="1303" t="e">
        <f ca="1">#REF!*_xlfn.XLOOKUP(HD$3,TabCalc[Ticker],TabCalc[M])</f>
        <v>#REF!</v>
      </c>
      <c r="HF38" s="1140"/>
      <c r="HG38" s="1151"/>
      <c r="HH38" s="1303">
        <f ca="1">HH37*_xlfn.XLOOKUP(HG$3,TabCalc[Ticker],TabCalc[M])</f>
        <v>122625.000024525</v>
      </c>
      <c r="HI38" s="1140"/>
      <c r="HJ38" s="1151"/>
      <c r="HK38" s="1303">
        <f ca="1">HK37*_xlfn.XLOOKUP(HJ$3,TabCalc[Ticker],TabCalc[M])</f>
        <v>190788.00000158991</v>
      </c>
      <c r="HL38" s="1140"/>
      <c r="HM38" s="1151"/>
      <c r="HN38" s="1303">
        <f ca="1">HN37*_xlfn.XLOOKUP(HM$3,TabCalc[Ticker],TabCalc[M])</f>
        <v>270844.00001593202</v>
      </c>
      <c r="HO38" s="1140"/>
      <c r="HP38" s="1151"/>
      <c r="HQ38" s="1303">
        <f ca="1">HQ37*_xlfn.XLOOKUP(HP$3,TabCalc[Ticker],TabCalc[M])</f>
        <v>14142000.0004714</v>
      </c>
      <c r="HR38" s="1140"/>
      <c r="HS38" s="1151"/>
      <c r="HT38" s="1303">
        <f ca="1">HT37*_xlfn.XLOOKUP(HS$3,TabCalc[Ticker],TabCalc[M])</f>
        <v>1.3205E-5</v>
      </c>
      <c r="HU38" s="1140"/>
      <c r="HV38" s="1151"/>
      <c r="HW38" s="1303">
        <f ca="1">HW37*_xlfn.XLOOKUP(HV$3,TabCalc[Ticker],TabCalc[M])</f>
        <v>5.4639999999999999E-5</v>
      </c>
      <c r="HX38" s="1140"/>
      <c r="HY38" s="1151"/>
      <c r="HZ38" s="1303">
        <f ca="1">HZ37*_xlfn.XLOOKUP(HY$3,TabCalc[Ticker],TabCalc[M])</f>
        <v>139158.00015462001</v>
      </c>
      <c r="IA38" s="1140"/>
      <c r="IB38" s="1151"/>
      <c r="IC38" s="1303">
        <f ca="1">IC37*_xlfn.XLOOKUP(IB$3,TabCalc[Ticker],TabCalc[M])</f>
        <v>7.8535499999999995E-4</v>
      </c>
      <c r="ID38" s="1140"/>
      <c r="IE38" s="1151"/>
      <c r="IF38" s="1303">
        <f ca="1">IF37*_xlfn.XLOOKUP(IE$3,TabCalc[Ticker],TabCalc[M])</f>
        <v>19319.910001245004</v>
      </c>
      <c r="IG38" s="1140"/>
      <c r="IH38" s="1151"/>
      <c r="II38" s="1303">
        <f ca="1">II37*_xlfn.XLOOKUP(IH$3,TabCalc[Ticker],TabCalc[M])</f>
        <v>38838.000032365009</v>
      </c>
      <c r="IJ38" s="1140"/>
      <c r="IK38" s="1151"/>
      <c r="IL38" s="1303">
        <f ca="1">IL37*_xlfn.XLOOKUP(IK$3,TabCalc[Ticker],TabCalc[M])</f>
        <v>110260.00055129999</v>
      </c>
      <c r="IM38" s="1140"/>
      <c r="IN38" s="1151"/>
      <c r="IO38" s="1303">
        <f ca="1">IO37*_xlfn.XLOOKUP(IN$3,TabCalc[Ticker],TabCalc[M])</f>
        <v>48158.500007408998</v>
      </c>
      <c r="IP38" s="1140"/>
      <c r="IQ38" s="1151"/>
      <c r="IR38" s="1303">
        <f ca="1">IR37*_xlfn.XLOOKUP(IQ$3,TabCalc[Ticker],TabCalc[M])</f>
        <v>1.2644999999999998E-4</v>
      </c>
      <c r="IS38" s="1140"/>
      <c r="IT38" s="1151"/>
      <c r="IU38" s="1303">
        <f ca="1">IU37*_xlfn.XLOOKUP(IT$3,TabCalc[Ticker],TabCalc[M])</f>
        <v>16998.000014165002</v>
      </c>
      <c r="IV38" s="1140"/>
      <c r="IW38" s="1151"/>
      <c r="IX38" s="1303">
        <f ca="1">IX37*_xlfn.XLOOKUP(IW$3,TabCalc[Ticker],TabCalc[M])</f>
        <v>164757.2000411893</v>
      </c>
      <c r="IY38" s="1140"/>
      <c r="IZ38" s="1151"/>
      <c r="JA38" s="1303">
        <f ca="1">JA37*_xlfn.XLOOKUP(IZ$3,TabCalc[Ticker],TabCalc[M])</f>
        <v>39000.000024375004</v>
      </c>
      <c r="JB38" s="1140"/>
      <c r="JC38" s="1151"/>
      <c r="JD38" s="1303">
        <f ca="1">JD37*_xlfn.XLOOKUP(JC$3,TabCalc[Ticker],TabCalc[M])</f>
        <v>190080.00000396001</v>
      </c>
      <c r="JE38" s="1140"/>
      <c r="JF38" s="1151"/>
      <c r="JG38" s="1303">
        <f ca="1">JG37*_xlfn.XLOOKUP(JF$3,TabCalc[Ticker],TabCalc[M])</f>
        <v>3.7429999999999999E-5</v>
      </c>
      <c r="JH38" s="1140"/>
      <c r="JI38" s="1151"/>
      <c r="JJ38" s="1303">
        <f ca="1">JJ37*_xlfn.XLOOKUP(JI$3,TabCalc[Ticker],TabCalc[M])</f>
        <v>39312.000065519998</v>
      </c>
      <c r="JK38" s="1140"/>
      <c r="JL38" s="1151"/>
      <c r="JM38" s="1303">
        <f ca="1">JM37*_xlfn.XLOOKUP(JL$3,TabCalc[Ticker],TabCalc[M])</f>
        <v>307267.50020484498</v>
      </c>
      <c r="JN38" s="1140"/>
      <c r="JO38" s="1151"/>
      <c r="JP38" s="1303">
        <f ca="1">JP37*_xlfn.XLOOKUP(JO$3,TabCalc[Ticker],TabCalc[M])</f>
        <v>548.40005483999994</v>
      </c>
      <c r="JQ38" s="1140"/>
      <c r="JR38" s="1151"/>
      <c r="JS38" s="1303">
        <f ca="1">JS37*_xlfn.XLOOKUP(JR$3,TabCalc[Ticker],TabCalc[M])</f>
        <v>784415.40001017391</v>
      </c>
      <c r="JT38" s="1140"/>
      <c r="JU38" s="1151"/>
      <c r="JV38" s="1303">
        <f ca="1">JV37*_xlfn.XLOOKUP(JU$3,TabCalc[Ticker],TabCalc[M])</f>
        <v>174160.0008708</v>
      </c>
      <c r="JW38" s="1140"/>
      <c r="JX38" s="1151"/>
      <c r="JY38" s="1303">
        <f ca="1">JY37*_xlfn.XLOOKUP(JX$3,TabCalc[Ticker],TabCalc[M])</f>
        <v>289890.00001610501</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3600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C77"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2780</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2729</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ASML (All Trades Info)</v>
      </c>
      <c r="M1" t="str">
        <f>[0]!ChaRSITicker&amp;" (Last Trades Zoom)"</f>
        <v>ASML (Last Trades Zoom)</v>
      </c>
      <c r="R1" s="319" t="str">
        <f>IDTICKER</f>
        <v>ASML</v>
      </c>
      <c r="S1" s="319"/>
      <c r="V1" s="409"/>
      <c r="Z1" t="str">
        <f>[0]!ChaRSITicker&amp;" (2 Week Movement RSI:Agio)"</f>
        <v>ASML (2 Week Movement RSI:Agio)</v>
      </c>
      <c r="AG1" t="str">
        <f ca="1">A51&amp;" "&amp;TRUNC(B51,2)</f>
        <v>Effective Cost/Share 659.34</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45940</v>
      </c>
      <c r="G32" s="166">
        <f ca="1">DataShift!G3</f>
        <v>45943</v>
      </c>
      <c r="H32" s="166">
        <f ca="1">DataShift!H3</f>
        <v>45944</v>
      </c>
      <c r="I32" s="166">
        <f ca="1">DataShift!I3</f>
        <v>45945</v>
      </c>
      <c r="J32" s="166">
        <f ca="1">DataShift!J3</f>
        <v>45946</v>
      </c>
      <c r="K32" s="166">
        <f ca="1">DataShift!K3</f>
        <v>45947</v>
      </c>
      <c r="L32" s="166">
        <f ca="1">DataShift!L3</f>
        <v>45950</v>
      </c>
      <c r="M32" s="166">
        <f ca="1">DataShift!M3</f>
        <v>45951</v>
      </c>
      <c r="N32" s="166">
        <f ca="1">DataShift!N3</f>
        <v>45952</v>
      </c>
      <c r="O32" s="166">
        <f ca="1">DataShift!O3</f>
        <v>45953</v>
      </c>
      <c r="P32" s="166">
        <f ca="1">DataShift!P3</f>
        <v>45954</v>
      </c>
      <c r="Q32" s="166">
        <f ca="1">DataShift!Q3</f>
        <v>45957</v>
      </c>
      <c r="R32" s="166">
        <f ca="1">DataShift!R3</f>
        <v>45958</v>
      </c>
      <c r="S32" s="166">
        <f ca="1">DataShift!S3</f>
        <v>45959</v>
      </c>
      <c r="T32" s="166">
        <f ca="1">DataShift!T3</f>
        <v>45960</v>
      </c>
      <c r="U32" s="166">
        <f ca="1">DataShift!U3</f>
        <v>45961</v>
      </c>
      <c r="V32" s="166">
        <f ca="1">DataShift!V3</f>
        <v>45964</v>
      </c>
      <c r="W32" s="166">
        <f ca="1">DataShift!W3</f>
        <v>45965</v>
      </c>
      <c r="X32" s="166">
        <f ca="1">DataShift!X3</f>
        <v>45966</v>
      </c>
      <c r="Y32" s="166">
        <f ca="1">DataShift!Y3</f>
        <v>45967</v>
      </c>
      <c r="Z32" s="166">
        <f ca="1">DataShift!Z3</f>
        <v>45968</v>
      </c>
      <c r="AA32" s="62"/>
      <c r="AB32" s="62"/>
    </row>
    <row r="33" spans="1:26" x14ac:dyDescent="0.3">
      <c r="A33" s="485" t="s">
        <v>1393</v>
      </c>
      <c r="B33" s="485"/>
      <c r="C33" s="485"/>
      <c r="D33" s="485"/>
      <c r="E33" s="485"/>
      <c r="F33" s="166">
        <f ca="1">F32</f>
        <v>45940</v>
      </c>
      <c r="G33" s="166"/>
      <c r="H33" s="166"/>
      <c r="I33" s="166"/>
      <c r="J33" s="166"/>
      <c r="K33" s="166"/>
      <c r="L33" s="166"/>
      <c r="M33" s="166"/>
      <c r="N33" s="166"/>
      <c r="O33" s="166"/>
      <c r="P33" s="166">
        <f ca="1">P32</f>
        <v>45954</v>
      </c>
      <c r="Q33" s="166"/>
      <c r="R33" s="166"/>
      <c r="S33" s="166"/>
      <c r="T33" s="166"/>
      <c r="U33" s="166"/>
      <c r="V33" s="166"/>
      <c r="W33" s="166"/>
      <c r="X33" s="166"/>
      <c r="Y33" s="166"/>
      <c r="Z33" s="166">
        <f ca="1">Z32</f>
        <v>45968</v>
      </c>
    </row>
    <row r="34" spans="1:26" x14ac:dyDescent="0.3">
      <c r="A34" s="485"/>
      <c r="B34" s="486" t="s">
        <v>1669</v>
      </c>
      <c r="C34" s="486" t="s">
        <v>1670</v>
      </c>
      <c r="D34" s="486" t="s">
        <v>1671</v>
      </c>
      <c r="E34" s="485"/>
    </row>
    <row r="35" spans="1:26" x14ac:dyDescent="0.3">
      <c r="A35" s="485" t="s">
        <v>662</v>
      </c>
      <c r="B35" s="487">
        <f ca="1">MIN(F35:Z35)</f>
        <v>53</v>
      </c>
      <c r="C35" s="487">
        <f ca="1">MAX(P35:Z35)</f>
        <v>63</v>
      </c>
      <c r="D35" s="485"/>
      <c r="E35" s="485"/>
      <c r="F35" s="94">
        <f ca="1">F57</f>
        <v>80</v>
      </c>
      <c r="G35" s="94">
        <f t="shared" ref="G35:Z35" ca="1" si="0">G57</f>
        <v>77</v>
      </c>
      <c r="H35" s="94">
        <f t="shared" ca="1" si="0"/>
        <v>77</v>
      </c>
      <c r="I35" s="94">
        <f t="shared" ca="1" si="0"/>
        <v>73</v>
      </c>
      <c r="J35" s="94">
        <f t="shared" ca="1" si="0"/>
        <v>76</v>
      </c>
      <c r="K35" s="94">
        <f t="shared" ca="1" si="0"/>
        <v>70</v>
      </c>
      <c r="L35" s="94">
        <f t="shared" ca="1" si="0"/>
        <v>70</v>
      </c>
      <c r="M35" s="94">
        <f t="shared" ca="1" si="0"/>
        <v>72</v>
      </c>
      <c r="N35" s="94">
        <f t="shared" ca="1" si="0"/>
        <v>68</v>
      </c>
      <c r="O35" s="94">
        <f t="shared" ca="1" si="0"/>
        <v>61</v>
      </c>
      <c r="P35" s="94">
        <f t="shared" ca="1" si="0"/>
        <v>60</v>
      </c>
      <c r="Q35" s="94">
        <f t="shared" ca="1" si="0"/>
        <v>62</v>
      </c>
      <c r="R35" s="94">
        <f t="shared" ca="1" si="0"/>
        <v>62</v>
      </c>
      <c r="S35" s="94">
        <f t="shared" ca="1" si="0"/>
        <v>63</v>
      </c>
      <c r="T35" s="94">
        <f t="shared" ca="1" si="0"/>
        <v>62</v>
      </c>
      <c r="U35" s="94">
        <f t="shared" ca="1" si="0"/>
        <v>63</v>
      </c>
      <c r="V35" s="94">
        <f t="shared" ca="1" si="0"/>
        <v>56</v>
      </c>
      <c r="W35" s="94">
        <f t="shared" ca="1" si="0"/>
        <v>53</v>
      </c>
      <c r="X35" s="94">
        <f t="shared" ca="1" si="0"/>
        <v>55</v>
      </c>
      <c r="Y35" s="94">
        <f t="shared" ca="1" si="0"/>
        <v>55</v>
      </c>
      <c r="Z35" s="94">
        <f t="shared" ca="1" si="0"/>
        <v>55</v>
      </c>
    </row>
    <row r="36" spans="1:26" x14ac:dyDescent="0.3">
      <c r="A36" s="485" t="s">
        <v>544</v>
      </c>
      <c r="B36" s="487">
        <f ca="1">MIN(F36:Z36)</f>
        <v>0.24814102564102564</v>
      </c>
      <c r="C36" s="487">
        <f ca="1">MAX(P36:Z36)</f>
        <v>1.4227731762002704</v>
      </c>
      <c r="D36" s="485"/>
      <c r="E36" s="485"/>
      <c r="F36" s="90">
        <f ca="1">F58</f>
        <v>1.0812065688661876</v>
      </c>
      <c r="G36" s="90">
        <f t="shared" ref="G36:Z36" ca="1" si="1">G58</f>
        <v>0.24814102564102564</v>
      </c>
      <c r="H36" s="90">
        <f t="shared" ca="1" si="1"/>
        <v>1.0146557796154749</v>
      </c>
      <c r="I36" s="90">
        <f t="shared" ca="1" si="1"/>
        <v>0.9212649675214567</v>
      </c>
      <c r="J36" s="90">
        <f t="shared" ca="1" si="1"/>
        <v>1.4815572344549928</v>
      </c>
      <c r="K36" s="90">
        <f t="shared" ca="1" si="1"/>
        <v>0.87383194989810631</v>
      </c>
      <c r="L36" s="90">
        <f t="shared" ca="1" si="1"/>
        <v>1.0246818701744351</v>
      </c>
      <c r="M36" s="90">
        <f t="shared" ca="1" si="1"/>
        <v>0.63246115718234674</v>
      </c>
      <c r="N36" s="90">
        <f t="shared" ca="1" si="1"/>
        <v>0.53697097512153269</v>
      </c>
      <c r="O36" s="90">
        <f t="shared" ca="1" si="1"/>
        <v>0.66238980546663384</v>
      </c>
      <c r="P36" s="90">
        <f t="shared" ca="1" si="1"/>
        <v>0.66238980546663384</v>
      </c>
      <c r="Q36" s="90">
        <f t="shared" ca="1" si="1"/>
        <v>0.93860648829515581</v>
      </c>
      <c r="R36" s="90">
        <f t="shared" ca="1" si="1"/>
        <v>0.62959608538686995</v>
      </c>
      <c r="S36" s="90">
        <f t="shared" ca="1" si="1"/>
        <v>0.70439053270361551</v>
      </c>
      <c r="T36" s="90">
        <f t="shared" ca="1" si="1"/>
        <v>0.55103540144512175</v>
      </c>
      <c r="U36" s="90">
        <f t="shared" ca="1" si="1"/>
        <v>0.97038282181975921</v>
      </c>
      <c r="V36" s="90">
        <f t="shared" ca="1" si="1"/>
        <v>0.91785407110091743</v>
      </c>
      <c r="W36" s="90">
        <f t="shared" ca="1" si="1"/>
        <v>1.2120666350052971</v>
      </c>
      <c r="X36" s="90">
        <f t="shared" ca="1" si="1"/>
        <v>0.8690636176438713</v>
      </c>
      <c r="Y36" s="90">
        <f t="shared" ca="1" si="1"/>
        <v>1.4227731762002704</v>
      </c>
      <c r="Z36" s="90">
        <f t="shared" ca="1" si="1"/>
        <v>1.4227731762002704</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659.34</v>
      </c>
      <c r="P38">
        <f ca="1">MIN(P44:P45,P50:P51)</f>
        <v>659.34</v>
      </c>
      <c r="Z38">
        <f ca="1">MAX(Z44:Z45,Z50:Z51)</f>
        <v>910.25</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88.199999999999989</v>
      </c>
      <c r="P40" s="94">
        <f t="shared" ref="P40:P41" ca="1" si="2">F40</f>
        <v>88.199999999999989</v>
      </c>
      <c r="Z40" s="94">
        <v>0</v>
      </c>
    </row>
    <row r="41" spans="1:26" x14ac:dyDescent="0.3">
      <c r="A41" s="153" t="s">
        <v>1672</v>
      </c>
      <c r="B41" s="481">
        <v>1.3</v>
      </c>
      <c r="C41" s="153"/>
      <c r="D41" s="153"/>
      <c r="E41" s="153"/>
      <c r="F41" s="94">
        <f t="shared" ref="F41" ca="1" si="3">B41*MAX(C$35:C$36)</f>
        <v>81.900000000000006</v>
      </c>
      <c r="P41" s="94">
        <f t="shared" ca="1" si="2"/>
        <v>81.900000000000006</v>
      </c>
      <c r="Z41" s="94">
        <f t="shared" ref="Z41:Z43" ca="1" si="4">0.9*P41</f>
        <v>73.710000000000008</v>
      </c>
    </row>
    <row r="42" spans="1:26" x14ac:dyDescent="0.3">
      <c r="A42" s="153" t="s">
        <v>1673</v>
      </c>
      <c r="B42" s="481">
        <v>1.2</v>
      </c>
      <c r="C42" s="153"/>
      <c r="D42" s="153"/>
      <c r="E42" s="153"/>
      <c r="F42" s="94">
        <f t="shared" ref="F42:F43" ca="1" si="5">B42*MAX(C$35:C$36)</f>
        <v>75.599999999999994</v>
      </c>
      <c r="P42" s="94">
        <f t="shared" ref="P42:P43" ca="1" si="6">F42</f>
        <v>75.599999999999994</v>
      </c>
      <c r="Z42" s="94">
        <f t="shared" ca="1" si="4"/>
        <v>68.039999999999992</v>
      </c>
    </row>
    <row r="43" spans="1:26" x14ac:dyDescent="0.3">
      <c r="A43" s="153" t="s">
        <v>1674</v>
      </c>
      <c r="B43" s="481">
        <v>1.1000000000000001</v>
      </c>
      <c r="C43" s="153"/>
      <c r="D43" s="153"/>
      <c r="E43" s="153"/>
      <c r="F43" s="94">
        <f t="shared" ca="1" si="5"/>
        <v>69.300000000000011</v>
      </c>
      <c r="P43" s="94">
        <f t="shared" ca="1" si="6"/>
        <v>69.300000000000011</v>
      </c>
      <c r="Z43" s="94">
        <f t="shared" ca="1" si="4"/>
        <v>62.370000000000012</v>
      </c>
    </row>
    <row r="44" spans="1:26" x14ac:dyDescent="0.3">
      <c r="A44" s="485" t="s">
        <v>1675</v>
      </c>
      <c r="B44" s="488">
        <f ca="1">_xlfn.XLOOKUP(_xlfn.SINGLE(ChaRSITicker),TabCalc[Ticker],TabCalc[L_Sp])</f>
        <v>910.25</v>
      </c>
      <c r="C44" s="485"/>
      <c r="D44" s="485"/>
      <c r="E44" s="485"/>
      <c r="F44" s="489">
        <f ca="1">_xlfn.XLOOKUP(_xlfn.SINGLE(ChaRSITicker),TabCalc[Ticker],TabCalc[L_Sp])</f>
        <v>910.25</v>
      </c>
      <c r="P44">
        <f ca="1">F44</f>
        <v>910.25</v>
      </c>
      <c r="Z44">
        <f ca="1">P44</f>
        <v>910.25</v>
      </c>
    </row>
    <row r="45" spans="1:26" x14ac:dyDescent="0.3">
      <c r="A45" s="485" t="s">
        <v>1676</v>
      </c>
      <c r="B45" s="488">
        <f ca="1">ABS(_xlfn.XLOOKUP(_xlfn.SINGLE(ChaRSITicker),TabCalc[Ticker],TabCalc[L_Bp]))</f>
        <v>813.9</v>
      </c>
      <c r="C45" s="485"/>
      <c r="D45" s="485"/>
      <c r="E45" s="485"/>
      <c r="F45" s="489">
        <f ca="1">ABS(_xlfn.XLOOKUP(_xlfn.SINGLE(ChaRSITicker),TabCalc[Ticker],TabCalc[L_Bp]))</f>
        <v>813.9</v>
      </c>
      <c r="P45">
        <f ca="1">F45</f>
        <v>813.9</v>
      </c>
      <c r="Z45">
        <f ca="1">P45</f>
        <v>813.9</v>
      </c>
    </row>
    <row r="46" spans="1:26" x14ac:dyDescent="0.3">
      <c r="A46" s="485" t="s">
        <v>1677</v>
      </c>
      <c r="B46" s="488">
        <f ca="1">_xlfn.XLOOKUP(_xlfn.SINGLE(ChaRSITicker),TabCalc[Ticker],TabCalc[Min_SP])</f>
        <v>636.70000000000005</v>
      </c>
      <c r="C46" s="485"/>
      <c r="D46" s="485"/>
      <c r="E46" s="485"/>
      <c r="F46" s="489">
        <f ca="1">_xlfn.XLOOKUP(_xlfn.SINGLE(ChaRSITicker),TabCalc[Ticker],TabCalc[Min_SP])</f>
        <v>636.70000000000005</v>
      </c>
      <c r="P46">
        <f t="shared" ref="P46:P49" ca="1" si="7">F46</f>
        <v>636.70000000000005</v>
      </c>
      <c r="Z46">
        <f t="shared" ref="Z46:Z49" ca="1" si="8">P46</f>
        <v>636.70000000000005</v>
      </c>
    </row>
    <row r="47" spans="1:26" x14ac:dyDescent="0.3">
      <c r="A47" s="485" t="s">
        <v>1678</v>
      </c>
      <c r="B47" s="488">
        <f ca="1">ABS(_xlfn.XLOOKUP(_xlfn.SINGLE(ChaRSITicker),TabCalc[Ticker],TabCalc[Min_PP]))</f>
        <v>945</v>
      </c>
      <c r="C47" s="485"/>
      <c r="D47" s="485"/>
      <c r="E47" s="485"/>
      <c r="F47" s="489">
        <f ca="1">ABS(_xlfn.XLOOKUP(_xlfn.SINGLE(ChaRSITicker),TabCalc[Ticker],TabCalc[Min_PP]))</f>
        <v>945</v>
      </c>
      <c r="P47">
        <f t="shared" ca="1" si="7"/>
        <v>945</v>
      </c>
      <c r="Z47">
        <f t="shared" ca="1" si="8"/>
        <v>945</v>
      </c>
    </row>
    <row r="48" spans="1:26" x14ac:dyDescent="0.3">
      <c r="A48" s="485" t="s">
        <v>1679</v>
      </c>
      <c r="B48" s="488">
        <f ca="1">_xlfn.XLOOKUP(_xlfn.SINGLE(ChaRSITicker),TabCalc[Ticker],TabCalc[Max_SP])</f>
        <v>982.8</v>
      </c>
      <c r="C48" s="485"/>
      <c r="D48" s="485"/>
      <c r="E48" s="485"/>
      <c r="F48" s="489">
        <f ca="1">_xlfn.XLOOKUP(_xlfn.SINGLE(ChaRSITicker),TabCalc[Ticker],TabCalc[Max_SP])</f>
        <v>982.8</v>
      </c>
      <c r="P48">
        <f t="shared" ca="1" si="7"/>
        <v>982.8</v>
      </c>
      <c r="Z48">
        <f t="shared" ca="1" si="8"/>
        <v>982.8</v>
      </c>
    </row>
    <row r="49" spans="1:26" x14ac:dyDescent="0.3">
      <c r="A49" s="485" t="s">
        <v>1680</v>
      </c>
      <c r="B49" s="488">
        <f ca="1">ABS(_xlfn.XLOOKUP(_xlfn.SINGLE(ChaRSITicker),TabCalc[Ticker],TabCalc[Max_PP]))</f>
        <v>599.29999999999995</v>
      </c>
      <c r="C49" s="485"/>
      <c r="D49" s="485"/>
      <c r="E49" s="485"/>
      <c r="F49" s="489">
        <f ca="1">ABS(_xlfn.XLOOKUP(_xlfn.SINGLE(ChaRSITicker),TabCalc[Ticker],TabCalc[Max_PP]))</f>
        <v>599.29999999999995</v>
      </c>
      <c r="P49">
        <f t="shared" ca="1" si="7"/>
        <v>599.29999999999995</v>
      </c>
      <c r="Z49">
        <f t="shared" ca="1" si="8"/>
        <v>599.29999999999995</v>
      </c>
    </row>
    <row r="50" spans="1:26" x14ac:dyDescent="0.3">
      <c r="A50" s="195" t="s">
        <v>131</v>
      </c>
      <c r="B50" s="195">
        <f ca="1">_xlfn.XLOOKUP(_xlfn.SINGLE(ChaRSITicker),TabCalc[Ticker],TabCalc[M])</f>
        <v>870.8</v>
      </c>
      <c r="C50" s="195"/>
      <c r="D50" s="195"/>
      <c r="E50" s="195"/>
      <c r="F50" s="489">
        <f ca="1">_xlfn.XLOOKUP(_xlfn.SINGLE(ChaRSITicker),TabCalc[Ticker],TabCalc[M])</f>
        <v>870.8</v>
      </c>
      <c r="P50">
        <f ca="1">F50</f>
        <v>870.8</v>
      </c>
      <c r="Z50">
        <f ca="1">P50</f>
        <v>870.8</v>
      </c>
    </row>
    <row r="51" spans="1:26" x14ac:dyDescent="0.3">
      <c r="A51" s="195" t="s">
        <v>1850</v>
      </c>
      <c r="B51" s="526">
        <f ca="1">ABS(_xlfn.XLOOKUP(ChaRSITicker,TabCalc[Ticker],TabCalc[A]))</f>
        <v>659.34</v>
      </c>
      <c r="C51" s="195"/>
      <c r="D51" s="195"/>
      <c r="E51" s="195"/>
      <c r="F51" s="489">
        <f ca="1">B51</f>
        <v>659.34</v>
      </c>
      <c r="P51" s="489">
        <f ca="1">F51</f>
        <v>659.34</v>
      </c>
      <c r="Z51" s="86">
        <f ca="1">P51</f>
        <v>659.34</v>
      </c>
    </row>
    <row r="52" spans="1:26" x14ac:dyDescent="0.3">
      <c r="A52" s="490" t="s">
        <v>1724</v>
      </c>
      <c r="B52" s="491">
        <f ca="1">MIN(B51,B44:B49,F56:Z56)</f>
        <v>599.29999999999995</v>
      </c>
      <c r="C52" s="491">
        <f ca="1">MAX(B51,B44:B49,F56:Z56)</f>
        <v>982.8</v>
      </c>
      <c r="D52" t="s">
        <v>1728</v>
      </c>
    </row>
    <row r="53" spans="1:26" ht="23" customHeight="1" x14ac:dyDescent="0.3">
      <c r="A53" s="490" t="s">
        <v>1725</v>
      </c>
      <c r="B53" s="491">
        <f ca="1">MIN(B51,B44:B45,P56:Z56)</f>
        <v>659.34</v>
      </c>
      <c r="C53" s="491">
        <f ca="1">MAX(B51,B44:B45,P56:Z56)</f>
        <v>937.5</v>
      </c>
      <c r="D53" t="s">
        <v>1728</v>
      </c>
    </row>
    <row r="54" spans="1:26" x14ac:dyDescent="0.3">
      <c r="A54" s="490" t="s">
        <v>1726</v>
      </c>
      <c r="B54" s="490">
        <f ca="1">MIN(P56:Z56)</f>
        <v>870.1</v>
      </c>
      <c r="C54" s="491">
        <f ca="1">MAX(F56:Z56)</f>
        <v>937.5</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842.3</v>
      </c>
      <c r="C56" s="153">
        <f ca="1">MAX(F56:Z56)</f>
        <v>937.5</v>
      </c>
      <c r="D56" s="483">
        <f ca="1">AVERAGE(F56:Y56)</f>
        <v>883.18</v>
      </c>
      <c r="E56" s="153"/>
      <c r="F56" cm="1">
        <f t="array" aca="1" ref="F56" ca="1">_xlfn.XLOOKUP(_xlfn.SINGLE(ChaRSITicker),ListTickers,Tab1Price[Price0])</f>
        <v>849.8</v>
      </c>
      <c r="G56" cm="1">
        <f t="array" aca="1" ref="G56" ca="1">_xlfn.XLOOKUP(_xlfn.SINGLE(ChaRSITicker),ListTickers,Tab1Price[Price1])</f>
        <v>842.3</v>
      </c>
      <c r="H56" cm="1">
        <f t="array" aca="1" ref="H56" ca="1">_xlfn.XLOOKUP(_xlfn.SINGLE(ChaRSITicker),ListTickers,Tab1Price[Price2])</f>
        <v>844</v>
      </c>
      <c r="I56" cm="1">
        <f t="array" aca="1" ref="I56" ca="1">_xlfn.XLOOKUP(_xlfn.SINGLE(ChaRSITicker),ListTickers,Tab1Price[Price3])</f>
        <v>846.6</v>
      </c>
      <c r="J56" cm="1">
        <f t="array" aca="1" ref="J56" ca="1">_xlfn.XLOOKUP(_xlfn.SINGLE(ChaRSITicker),ListTickers,Tab1Price[Price4])</f>
        <v>873</v>
      </c>
      <c r="K56" cm="1">
        <f t="array" aca="1" ref="K56" ca="1">_xlfn.XLOOKUP(_xlfn.SINGLE(ChaRSITicker),ListTickers,Tab1Price[Price5])</f>
        <v>877.4</v>
      </c>
      <c r="L56" cm="1">
        <f t="array" aca="1" ref="L56" ca="1">_xlfn.XLOOKUP(_xlfn.SINGLE(ChaRSITicker),ListTickers,Tab1Price[Price6])</f>
        <v>875.7</v>
      </c>
      <c r="M56" cm="1">
        <f t="array" aca="1" ref="M56" ca="1">_xlfn.XLOOKUP(_xlfn.SINGLE(ChaRSITicker),ListTickers,Tab1Price[Price7])</f>
        <v>899</v>
      </c>
      <c r="N56" cm="1">
        <f t="array" aca="1" ref="N56" ca="1">_xlfn.XLOOKUP(_xlfn.SINGLE(ChaRSITicker),ListTickers,Tab1Price[Price8])</f>
        <v>889.8</v>
      </c>
      <c r="O56" cm="1">
        <f t="array" aca="1" ref="O56" ca="1">_xlfn.XLOOKUP(_xlfn.SINGLE(ChaRSITicker),ListTickers,Tab1Price[Price9])</f>
        <v>870.1</v>
      </c>
      <c r="P56" cm="1">
        <f t="array" aca="1" ref="P56" ca="1">_xlfn.XLOOKUP(_xlfn.SINGLE(ChaRSITicker),ListTickers,Tab1Price[Price10])</f>
        <v>870.1</v>
      </c>
      <c r="Q56" cm="1">
        <f t="array" aca="1" ref="Q56" ca="1">_xlfn.XLOOKUP(_xlfn.SINGLE(ChaRSITicker),ListTickers,Tab1Price[Price11])</f>
        <v>887.7</v>
      </c>
      <c r="R56" cm="1">
        <f t="array" aca="1" ref="R56" ca="1">_xlfn.XLOOKUP(_xlfn.SINGLE(ChaRSITicker),ListTickers,Tab1Price[Price12])</f>
        <v>894.4</v>
      </c>
      <c r="S56" cm="1">
        <f t="array" aca="1" ref="S56" ca="1">_xlfn.XLOOKUP(_xlfn.SINGLE(ChaRSITicker),ListTickers,Tab1Price[Price13])</f>
        <v>908.1</v>
      </c>
      <c r="T56" cm="1">
        <f t="array" aca="1" ref="T56" ca="1">_xlfn.XLOOKUP(_xlfn.SINGLE(ChaRSITicker),ListTickers,Tab1Price[Price14])</f>
        <v>907.4</v>
      </c>
      <c r="U56" cm="1">
        <f t="array" aca="1" ref="U56" ca="1">_xlfn.XLOOKUP(_xlfn.SINGLE(ChaRSITicker),ListTickers,Tab1Price[Price15])</f>
        <v>937.5</v>
      </c>
      <c r="V56" cm="1">
        <f t="array" aca="1" ref="V56" ca="1">_xlfn.XLOOKUP(_xlfn.SINGLE(ChaRSITicker),ListTickers,Tab1Price[Price16])</f>
        <v>918</v>
      </c>
      <c r="W56" cm="1">
        <f t="array" aca="1" ref="W56" ca="1">_xlfn.XLOOKUP(_xlfn.SINGLE(ChaRSITicker),ListTickers,Tab1Price[Price17])</f>
        <v>906.6</v>
      </c>
      <c r="X56" cm="1">
        <f t="array" aca="1" ref="X56" ca="1">_xlfn.XLOOKUP(_xlfn.SINGLE(ChaRSITicker),ListTickers,Tab1Price[Price18])</f>
        <v>895.3</v>
      </c>
      <c r="Y56" cm="1">
        <f t="array" aca="1" ref="Y56" ca="1">_xlfn.XLOOKUP(_xlfn.SINGLE(ChaRSITicker),ListTickers,Tab1Price[Price19])</f>
        <v>870.8</v>
      </c>
      <c r="Z56" cm="1">
        <f t="array" aca="1" ref="Z56" ca="1">_xlfn.XLOOKUP(_xlfn.SINGLE(ChaRSITicker),ListTickers,Tab1Price[Price20])</f>
        <v>870.8</v>
      </c>
    </row>
    <row r="57" spans="1:26" x14ac:dyDescent="0.3">
      <c r="A57" s="153" t="s">
        <v>662</v>
      </c>
      <c r="B57" s="495">
        <f t="shared" ref="B57:B58" ca="1" si="9">MIN(F57:Z57)</f>
        <v>53</v>
      </c>
      <c r="C57" s="495">
        <v>100</v>
      </c>
      <c r="D57" s="483">
        <f ca="1">IFERROR(AVERAGEIF(F57:Y57, "&gt;0"), "")</f>
        <v>65.75</v>
      </c>
      <c r="E57" s="481">
        <v>1</v>
      </c>
      <c r="F57" s="87" cm="1">
        <f t="array" aca="1" ref="F57" ca="1">_xlfn.XLOOKUP(ChaRSITicker,ListTickers,Tab2RSI[RSI0])</f>
        <v>80</v>
      </c>
      <c r="G57" s="87" cm="1">
        <f t="array" aca="1" ref="G57" ca="1">_xlfn.XLOOKUP(ChaRSITicker,ListTickers,Tab2RSI[RSI1])</f>
        <v>77</v>
      </c>
      <c r="H57" s="87" cm="1">
        <f t="array" aca="1" ref="H57" ca="1">_xlfn.XLOOKUP(ChaRSITicker,ListTickers,Tab2RSI[RSI2])</f>
        <v>77</v>
      </c>
      <c r="I57" s="87" cm="1">
        <f t="array" aca="1" ref="I57" ca="1">_xlfn.XLOOKUP(ChaRSITicker,ListTickers,Tab2RSI[RSI3])</f>
        <v>73</v>
      </c>
      <c r="J57" s="87" cm="1">
        <f t="array" aca="1" ref="J57" ca="1">_xlfn.XLOOKUP(ChaRSITicker,ListTickers,Tab2RSI[RSI4])</f>
        <v>76</v>
      </c>
      <c r="K57" s="87" cm="1">
        <f t="array" aca="1" ref="K57" ca="1">_xlfn.XLOOKUP(ChaRSITicker,ListTickers,Tab2RSI[RSI5])</f>
        <v>70</v>
      </c>
      <c r="L57" s="87" cm="1">
        <f t="array" aca="1" ref="L57" ca="1">_xlfn.XLOOKUP(ChaRSITicker,ListTickers,Tab2RSI[RSI6])</f>
        <v>70</v>
      </c>
      <c r="M57" s="87" cm="1">
        <f t="array" aca="1" ref="M57" ca="1">_xlfn.XLOOKUP(ChaRSITicker,ListTickers,Tab2RSI[RSI7])</f>
        <v>72</v>
      </c>
      <c r="N57" s="87" cm="1">
        <f t="array" aca="1" ref="N57" ca="1">_xlfn.XLOOKUP(ChaRSITicker,ListTickers,Tab2RSI[RSI8])</f>
        <v>68</v>
      </c>
      <c r="O57" s="87" cm="1">
        <f t="array" aca="1" ref="O57" ca="1">_xlfn.XLOOKUP(ChaRSITicker,ListTickers,Tab2RSI[RSI9])</f>
        <v>61</v>
      </c>
      <c r="P57" s="87" cm="1">
        <f t="array" aca="1" ref="P57" ca="1">_xlfn.XLOOKUP(ChaRSITicker,ListTickers,Tab2RSI[RSI10])</f>
        <v>60</v>
      </c>
      <c r="Q57" s="87" cm="1">
        <f t="array" aca="1" ref="Q57" ca="1">_xlfn.XLOOKUP(ChaRSITicker,ListTickers,Tab2RSI[RSI11])</f>
        <v>62</v>
      </c>
      <c r="R57" s="87" cm="1">
        <f t="array" aca="1" ref="R57" ca="1">_xlfn.XLOOKUP(ChaRSITicker,ListTickers,Tab2RSI[RSI12])</f>
        <v>62</v>
      </c>
      <c r="S57" s="87" cm="1">
        <f t="array" aca="1" ref="S57" ca="1">_xlfn.XLOOKUP(ChaRSITicker,ListTickers,Tab2RSI[RSI13])</f>
        <v>63</v>
      </c>
      <c r="T57" s="87" cm="1">
        <f t="array" aca="1" ref="T57" ca="1">_xlfn.XLOOKUP(ChaRSITicker,ListTickers,Tab2RSI[RSI14])</f>
        <v>62</v>
      </c>
      <c r="U57" s="87" cm="1">
        <f t="array" aca="1" ref="U57" ca="1">_xlfn.XLOOKUP(ChaRSITicker,ListTickers,Tab2RSI[RSI15])</f>
        <v>63</v>
      </c>
      <c r="V57" s="87" cm="1">
        <f t="array" aca="1" ref="V57" ca="1">_xlfn.XLOOKUP(ChaRSITicker,ListTickers,Tab2RSI[RSI16])</f>
        <v>56</v>
      </c>
      <c r="W57" s="87" cm="1">
        <f t="array" aca="1" ref="W57" ca="1">_xlfn.XLOOKUP(ChaRSITicker,ListTickers,Tab2RSI[RSI17])</f>
        <v>53</v>
      </c>
      <c r="X57" s="87" cm="1">
        <f t="array" aca="1" ref="X57" ca="1">_xlfn.XLOOKUP(ChaRSITicker,ListTickers,Tab2RSI[RSI18])</f>
        <v>55</v>
      </c>
      <c r="Y57" s="87" cm="1">
        <f t="array" aca="1" ref="Y57" ca="1">_xlfn.XLOOKUP(ChaRSITicker,ListTickers,Tab2RSI[RSI19])</f>
        <v>55</v>
      </c>
      <c r="Z57" s="87" cm="1">
        <f t="array" aca="1" ref="Z57" ca="1">_xlfn.XLOOKUP(ChaRSITicker,ListTickers,Tab2RSI[RSI20])</f>
        <v>55</v>
      </c>
    </row>
    <row r="58" spans="1:26" x14ac:dyDescent="0.3">
      <c r="A58" s="153" t="s">
        <v>544</v>
      </c>
      <c r="B58" s="482">
        <f t="shared" ca="1" si="9"/>
        <v>0.24814102564102564</v>
      </c>
      <c r="C58" s="482">
        <f t="shared" ref="C58" ca="1" si="10">MAX(F58:Z58)</f>
        <v>1.4815572344549928</v>
      </c>
      <c r="D58" s="483">
        <f ca="1">IFERROR(AVERAGEIF(F58:Y58, "&gt;0"), "")</f>
        <v>0.86776599845048508</v>
      </c>
      <c r="E58" s="153">
        <f ca="1">INT(C57/D58)</f>
        <v>115</v>
      </c>
      <c r="F58" s="90" cm="1">
        <f t="array" aca="1" ref="F58" ca="1">_xlfn.XLOOKUP(ChaRSITicker,ListTickers,Tab2Agiotage[XAgio0])</f>
        <v>1.0812065688661876</v>
      </c>
      <c r="G58" s="90" cm="1">
        <f t="array" aca="1" ref="G58" ca="1">_xlfn.XLOOKUP(ChaRSITicker,ListTickers,Tab2Agiotage[XAgio1])</f>
        <v>0.24814102564102564</v>
      </c>
      <c r="H58" s="90" cm="1">
        <f t="array" aca="1" ref="H58" ca="1">_xlfn.XLOOKUP(ChaRSITicker,ListTickers,Tab2Agiotage[XAgio2])</f>
        <v>1.0146557796154749</v>
      </c>
      <c r="I58" s="90" cm="1">
        <f t="array" aca="1" ref="I58" ca="1">_xlfn.XLOOKUP(ChaRSITicker,ListTickers,Tab2Agiotage[XAgio3])</f>
        <v>0.9212649675214567</v>
      </c>
      <c r="J58" s="90" cm="1">
        <f t="array" aca="1" ref="J58" ca="1">_xlfn.XLOOKUP(ChaRSITicker,ListTickers,Tab2Agiotage[XAgio4])</f>
        <v>1.4815572344549928</v>
      </c>
      <c r="K58" s="90" cm="1">
        <f t="array" aca="1" ref="K58" ca="1">_xlfn.XLOOKUP(ChaRSITicker,ListTickers,Tab2Agiotage[XAgio5])</f>
        <v>0.87383194989810631</v>
      </c>
      <c r="L58" s="90" cm="1">
        <f t="array" aca="1" ref="L58" ca="1">_xlfn.XLOOKUP(ChaRSITicker,ListTickers,Tab2Agiotage[XAgio6])</f>
        <v>1.0246818701744351</v>
      </c>
      <c r="M58" s="90" cm="1">
        <f t="array" aca="1" ref="M58" ca="1">_xlfn.XLOOKUP(ChaRSITicker,ListTickers,Tab2Agiotage[XAgio7])</f>
        <v>0.63246115718234674</v>
      </c>
      <c r="N58" s="90" cm="1">
        <f t="array" aca="1" ref="N58" ca="1">_xlfn.XLOOKUP(ChaRSITicker,ListTickers,Tab2Agiotage[XAgio8])</f>
        <v>0.53697097512153269</v>
      </c>
      <c r="O58" s="90" cm="1">
        <f t="array" aca="1" ref="O58" ca="1">_xlfn.XLOOKUP(ChaRSITicker,ListTickers,Tab2Agiotage[XAgio9])</f>
        <v>0.66238980546663384</v>
      </c>
      <c r="P58" s="90" cm="1">
        <f t="array" aca="1" ref="P58" ca="1">_xlfn.XLOOKUP(ChaRSITicker,ListTickers,Tab2Agiotage[XAgio10])</f>
        <v>0.66238980546663384</v>
      </c>
      <c r="Q58" s="90" cm="1">
        <f t="array" aca="1" ref="Q58" ca="1">_xlfn.XLOOKUP(ChaRSITicker,ListTickers,Tab2Agiotage[XAgio11])</f>
        <v>0.93860648829515581</v>
      </c>
      <c r="R58" s="90" cm="1">
        <f t="array" aca="1" ref="R58" ca="1">_xlfn.XLOOKUP(ChaRSITicker,ListTickers,Tab2Agiotage[XAgio12])</f>
        <v>0.62959608538686995</v>
      </c>
      <c r="S58" s="90" cm="1">
        <f t="array" aca="1" ref="S58" ca="1">_xlfn.XLOOKUP(ChaRSITicker,ListTickers,Tab2Agiotage[XAgio13])</f>
        <v>0.70439053270361551</v>
      </c>
      <c r="T58" s="90" cm="1">
        <f t="array" aca="1" ref="T58" ca="1">_xlfn.XLOOKUP(ChaRSITicker,ListTickers,Tab2Agiotage[XAgio14])</f>
        <v>0.55103540144512175</v>
      </c>
      <c r="U58" s="90" cm="1">
        <f t="array" aca="1" ref="U58" ca="1">_xlfn.XLOOKUP(ChaRSITicker,ListTickers,Tab2Agiotage[XAgio15])</f>
        <v>0.97038282181975921</v>
      </c>
      <c r="V58" s="90" cm="1">
        <f t="array" aca="1" ref="V58" ca="1">_xlfn.XLOOKUP(ChaRSITicker,ListTickers,Tab2Agiotage[XAgio16])</f>
        <v>0.91785407110091743</v>
      </c>
      <c r="W58" s="90" cm="1">
        <f t="array" aca="1" ref="W58" ca="1">_xlfn.XLOOKUP(ChaRSITicker,ListTickers,Tab2Agiotage[XAgio17])</f>
        <v>1.2120666350052971</v>
      </c>
      <c r="X58" s="90" cm="1">
        <f t="array" aca="1" ref="X58" ca="1">_xlfn.XLOOKUP(ChaRSITicker,ListTickers,Tab2Agiotage[XAgio18])</f>
        <v>0.8690636176438713</v>
      </c>
      <c r="Y58" s="90" cm="1">
        <f t="array" aca="1" ref="Y58" ca="1">_xlfn.XLOOKUP(ChaRSITicker,ListTickers,Tab2Agiotage[XAgio19])</f>
        <v>1.4227731762002704</v>
      </c>
      <c r="Z58" s="90" cm="1">
        <f t="array" aca="1" ref="Z58" ca="1">_xlfn.XLOOKUP(ChaRSITicker,ListTickers,Tab2Agiotage[XAgio20])</f>
        <v>1.4227731762002704</v>
      </c>
    </row>
    <row r="59" spans="1:26" x14ac:dyDescent="0.3">
      <c r="A59" s="153" t="s">
        <v>662</v>
      </c>
      <c r="B59" s="153"/>
      <c r="C59" s="153"/>
      <c r="D59" s="153"/>
      <c r="E59" s="153"/>
      <c r="F59" cm="1">
        <f t="array" aca="1" ref="F59" ca="1">_xlfn.XLOOKUP(ChaRSITicker,ListTickers,Tab2RSIConventional[RSIConv0])</f>
        <v>62</v>
      </c>
      <c r="G59" cm="1">
        <f t="array" aca="1" ref="G59" ca="1">_xlfn.XLOOKUP(ChaRSITicker,ListTickers,Tab2RSIConventional[RSIConv1])</f>
        <v>59</v>
      </c>
      <c r="H59" cm="1">
        <f t="array" aca="1" ref="H59" ca="1">_xlfn.XLOOKUP(ChaRSITicker,ListTickers,Tab2RSIConventional[RSIConv2])</f>
        <v>62</v>
      </c>
      <c r="I59" cm="1">
        <f t="array" aca="1" ref="I59" ca="1">_xlfn.XLOOKUP(ChaRSITicker,ListTickers,Tab2RSIConventional[RSIConv3])</f>
        <v>61</v>
      </c>
      <c r="J59" cm="1">
        <f t="array" aca="1" ref="J59" ca="1">_xlfn.XLOOKUP(ChaRSITicker,ListTickers,Tab2RSIConventional[RSIConv4])</f>
        <v>70</v>
      </c>
      <c r="K59" cm="1">
        <f t="array" aca="1" ref="K59" ca="1">_xlfn.XLOOKUP(ChaRSITicker,ListTickers,Tab2RSIConventional[RSIConv5])</f>
        <v>70</v>
      </c>
      <c r="L59" cm="1">
        <f t="array" aca="1" ref="L59" ca="1">_xlfn.XLOOKUP(ChaRSITicker,ListTickers,Tab2RSIConventional[RSIConv6])</f>
        <v>69</v>
      </c>
      <c r="M59" cm="1">
        <f t="array" aca="1" ref="M59" ca="1">_xlfn.XLOOKUP(ChaRSITicker,ListTickers,Tab2RSIConventional[RSIConv7])</f>
        <v>71</v>
      </c>
      <c r="N59" cm="1">
        <f t="array" aca="1" ref="N59" ca="1">_xlfn.XLOOKUP(ChaRSITicker,ListTickers,Tab2RSIConventional[RSIConv8])</f>
        <v>67</v>
      </c>
      <c r="O59" cm="1">
        <f t="array" aca="1" ref="O59" ca="1">_xlfn.XLOOKUP(ChaRSITicker,ListTickers,Tab2RSIConventional[RSIConv9])</f>
        <v>59</v>
      </c>
      <c r="P59" cm="1">
        <f t="array" aca="1" ref="P59" ca="1">_xlfn.XLOOKUP(ChaRSITicker,ListTickers,Tab2RSIConventional[RSIConv10])</f>
        <v>45</v>
      </c>
      <c r="Q59" cm="1">
        <f t="array" aca="1" ref="Q59" ca="1">_xlfn.XLOOKUP(ChaRSITicker,ListTickers,Tab2RSIConventional[RSIConv11])</f>
        <v>50</v>
      </c>
      <c r="R59" cm="1">
        <f t="array" aca="1" ref="R59" ca="1">_xlfn.XLOOKUP(ChaRSITicker,ListTickers,Tab2RSIConventional[RSIConv12])</f>
        <v>57</v>
      </c>
      <c r="S59" cm="1">
        <f t="array" aca="1" ref="S59" ca="1">_xlfn.XLOOKUP(ChaRSITicker,ListTickers,Tab2RSIConventional[RSIConv13])</f>
        <v>67</v>
      </c>
      <c r="T59" cm="1">
        <f t="array" aca="1" ref="T59" ca="1">_xlfn.XLOOKUP(ChaRSITicker,ListTickers,Tab2RSIConventional[RSIConv14])</f>
        <v>68</v>
      </c>
      <c r="U59" cm="1">
        <f t="array" aca="1" ref="U59" ca="1">_xlfn.XLOOKUP(ChaRSITicker,ListTickers,Tab2RSIConventional[RSIConv15])</f>
        <v>74</v>
      </c>
      <c r="V59" cm="1">
        <f t="array" aca="1" ref="V59" ca="1">_xlfn.XLOOKUP(ChaRSITicker,ListTickers,Tab2RSIConventional[RSIConv16])</f>
        <v>65</v>
      </c>
      <c r="W59" cm="1">
        <f t="array" aca="1" ref="W59" ca="1">_xlfn.XLOOKUP(ChaRSITicker,ListTickers,Tab2RSIConventional[RSIConv17])</f>
        <v>61</v>
      </c>
      <c r="X59" cm="1">
        <f t="array" aca="1" ref="X59" ca="1">_xlfn.XLOOKUP(ChaRSITicker,ListTickers,Tab2RSIConventional[RSIConv18])</f>
        <v>50</v>
      </c>
      <c r="Y59" cm="1">
        <f t="array" aca="1" ref="Y59" ca="1">_xlfn.XLOOKUP(ChaRSITicker,ListTickers,Tab2RSIConventional[RSIConv19])</f>
        <v>42</v>
      </c>
      <c r="Z59" cm="1">
        <f t="array" aca="1" ref="Z59" ca="1">_xlfn.XLOOKUP(ChaRSITicker,ListTickers,Tab2RSIConventional[RSIConv20])</f>
        <v>42</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ASML History</v>
      </c>
      <c r="M1" t="str">
        <f>[0]!ChaRSITicker&amp;" (Last Trades Zoom)"</f>
        <v>ASML (Last Trades Zoom)</v>
      </c>
      <c r="O1" s="1" t="str">
        <f ca="1">_xlfn.XLOOKUP(ChaChaTicker,TabCalc[Ticker],TabCalc[NAfter])&amp;" x "&amp;"A="&amp;TRUNC(B51,2)</f>
        <v>3100 x A=659.34</v>
      </c>
      <c r="R1" s="549" t="str">
        <f>IDTICKER</f>
        <v>ASML</v>
      </c>
      <c r="S1" s="549"/>
      <c r="T1" s="550" t="s">
        <v>1781</v>
      </c>
      <c r="U1" s="551" t="s">
        <v>1782</v>
      </c>
      <c r="W1">
        <f ca="1">_xlfn.XLOOKUP(ChaChaTicker,TabCalc[Ticker],TabCalc[NAfter])</f>
        <v>3100</v>
      </c>
    </row>
    <row r="2" spans="5:23" ht="24" thickTop="1" thickBot="1" x14ac:dyDescent="0.35">
      <c r="R2" s="545">
        <f ca="1">TODAY()</f>
        <v>45968</v>
      </c>
      <c r="S2" s="546">
        <f ca="1">_xlfn.XLOOKUP(ChaChaTicker,TabCalc[Ticker],TabCalc[NAfter])</f>
        <v>3100</v>
      </c>
      <c r="T2" s="547">
        <f ca="1">_xlfn.XLOOKUP(ChaChaTicker,TabCalc[Ticker],TabCalc[L_Sn])</f>
        <v>100</v>
      </c>
      <c r="U2" s="548">
        <f ca="1">_xlfn.XLOOKUP(ChaChaTicker,TabCalc[Ticker],TabCalc[L_Bn])</f>
        <v>200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45940</v>
      </c>
      <c r="G32" s="166">
        <f ca="1">DataShift!G3</f>
        <v>45943</v>
      </c>
      <c r="H32" s="166">
        <f ca="1">DataShift!H3</f>
        <v>45944</v>
      </c>
      <c r="I32" s="166">
        <f ca="1">DataShift!I3</f>
        <v>45945</v>
      </c>
      <c r="J32" s="166">
        <f ca="1">DataShift!J3</f>
        <v>45946</v>
      </c>
      <c r="K32" s="166">
        <f ca="1">DataShift!K3</f>
        <v>45947</v>
      </c>
      <c r="L32" s="166">
        <f ca="1">DataShift!L3</f>
        <v>45950</v>
      </c>
      <c r="M32" s="166">
        <f ca="1">DataShift!M3</f>
        <v>45951</v>
      </c>
      <c r="N32" s="166">
        <f ca="1">DataShift!N3</f>
        <v>45952</v>
      </c>
      <c r="O32" s="166">
        <f ca="1">DataShift!O3</f>
        <v>45953</v>
      </c>
      <c r="P32" s="166">
        <f ca="1">DataShift!P3</f>
        <v>45954</v>
      </c>
      <c r="Q32" s="166">
        <f ca="1">DataShift!Q3</f>
        <v>45957</v>
      </c>
      <c r="R32" s="166">
        <f ca="1">DataShift!R3</f>
        <v>45958</v>
      </c>
      <c r="S32" s="166">
        <f ca="1">DataShift!S3</f>
        <v>45959</v>
      </c>
      <c r="T32" s="166">
        <f ca="1">DataShift!T3</f>
        <v>45960</v>
      </c>
      <c r="U32" s="166">
        <f ca="1">DataShift!U3</f>
        <v>45961</v>
      </c>
      <c r="V32" s="166">
        <f ca="1">DataShift!V3</f>
        <v>45964</v>
      </c>
      <c r="W32" s="166">
        <f ca="1">DataShift!W3</f>
        <v>45965</v>
      </c>
      <c r="X32" s="166">
        <f ca="1">DataShift!X3</f>
        <v>45966</v>
      </c>
      <c r="Y32" s="166">
        <f ca="1">DataShift!Y3</f>
        <v>45967</v>
      </c>
      <c r="Z32" s="166">
        <f ca="1">DataShift!Z3</f>
        <v>45968</v>
      </c>
      <c r="AA32" s="62"/>
      <c r="AB32" s="62"/>
    </row>
    <row r="33" spans="1:26" x14ac:dyDescent="0.3">
      <c r="A33" s="485" t="s">
        <v>1393</v>
      </c>
      <c r="B33" s="485"/>
      <c r="C33" s="485"/>
      <c r="D33" s="485"/>
      <c r="E33" s="485"/>
      <c r="F33" s="166">
        <f ca="1">F32</f>
        <v>45940</v>
      </c>
      <c r="G33" s="166"/>
      <c r="H33" s="166"/>
      <c r="I33" s="166"/>
      <c r="J33" s="166"/>
      <c r="K33" s="166"/>
      <c r="L33" s="166"/>
      <c r="M33" s="166"/>
      <c r="N33" s="166"/>
      <c r="O33" s="166"/>
      <c r="P33" s="166">
        <f ca="1">P32</f>
        <v>45954</v>
      </c>
      <c r="Q33" s="166"/>
      <c r="R33" s="166"/>
      <c r="S33" s="166"/>
      <c r="T33" s="166"/>
      <c r="U33" s="166"/>
      <c r="V33" s="166"/>
      <c r="W33" s="166"/>
      <c r="X33" s="166"/>
      <c r="Y33" s="166"/>
      <c r="Z33" s="166">
        <f ca="1">Z32</f>
        <v>45968</v>
      </c>
    </row>
    <row r="34" spans="1:26" x14ac:dyDescent="0.3">
      <c r="A34" s="485"/>
      <c r="B34" s="486" t="s">
        <v>1669</v>
      </c>
      <c r="C34" s="486" t="s">
        <v>1670</v>
      </c>
      <c r="D34" s="486" t="s">
        <v>1671</v>
      </c>
      <c r="E34" s="485"/>
    </row>
    <row r="35" spans="1:26" x14ac:dyDescent="0.3">
      <c r="A35" s="485" t="s">
        <v>1667</v>
      </c>
      <c r="B35" s="487">
        <f ca="1">MIN(F35:Z35)</f>
        <v>-443.9727434968363</v>
      </c>
      <c r="C35" s="487">
        <f ca="1">MAX(F35:Z35)</f>
        <v>600</v>
      </c>
      <c r="D35" s="485"/>
      <c r="E35" s="485"/>
      <c r="F35" s="94">
        <f ca="1">100*F57*$E57</f>
        <v>-38.094207993077724</v>
      </c>
      <c r="G35" s="94">
        <f t="shared" ref="G35:Z35" ca="1" si="0">100*G57*$E57</f>
        <v>-143.1939862635877</v>
      </c>
      <c r="H35" s="94">
        <f t="shared" ca="1" si="0"/>
        <v>600</v>
      </c>
      <c r="I35" s="94">
        <f t="shared" ca="1" si="0"/>
        <v>49.98647990914499</v>
      </c>
      <c r="J35" s="94">
        <f t="shared" ca="1" si="0"/>
        <v>505.93261586717864</v>
      </c>
      <c r="K35" s="94">
        <f t="shared" ca="1" si="0"/>
        <v>81.76950949110379</v>
      </c>
      <c r="L35" s="94">
        <f t="shared" ca="1" si="0"/>
        <v>-31.442323292412528</v>
      </c>
      <c r="M35" s="94">
        <f t="shared" ca="1" si="0"/>
        <v>431.67486885511869</v>
      </c>
      <c r="N35" s="94">
        <f t="shared" ca="1" si="0"/>
        <v>-166.03753177221353</v>
      </c>
      <c r="O35" s="94">
        <f t="shared" ca="1" si="0"/>
        <v>-359.20177383592016</v>
      </c>
      <c r="P35" s="94">
        <f t="shared" ca="1" si="0"/>
        <v>-359.20177383592016</v>
      </c>
      <c r="Q35" s="94">
        <f t="shared" ca="1" si="0"/>
        <v>328.18127737818401</v>
      </c>
      <c r="R35" s="94">
        <f t="shared" ca="1" si="0"/>
        <v>122.45957492834353</v>
      </c>
      <c r="S35" s="94">
        <f t="shared" ca="1" si="0"/>
        <v>248.52090206046188</v>
      </c>
      <c r="T35" s="94">
        <f t="shared" ca="1" si="0"/>
        <v>16.107295441025361</v>
      </c>
      <c r="U35" s="94">
        <f t="shared" ca="1" si="0"/>
        <v>319.40403439511113</v>
      </c>
      <c r="V35" s="94">
        <f t="shared" ca="1" si="0"/>
        <v>-148.8399762046401</v>
      </c>
      <c r="W35" s="94">
        <f t="shared" ca="1" si="0"/>
        <v>-201.47098588502516</v>
      </c>
      <c r="X35" s="94">
        <f t="shared" ca="1" si="0"/>
        <v>-202.21729490022173</v>
      </c>
      <c r="Y35" s="94">
        <f t="shared" ca="1" si="0"/>
        <v>-443.9727434968363</v>
      </c>
      <c r="Z35" s="94">
        <f t="shared" ca="1" si="0"/>
        <v>-443.9727434968363</v>
      </c>
    </row>
    <row r="36" spans="1:26" x14ac:dyDescent="0.3">
      <c r="A36" s="485" t="s">
        <v>1668</v>
      </c>
      <c r="B36" s="487">
        <f ca="1">MIN(F36:Z36)</f>
        <v>87.118756441760752</v>
      </c>
      <c r="C36" s="487">
        <f ca="1">MAX(F36:Z36)</f>
        <v>973.44654156075933</v>
      </c>
      <c r="D36" s="485"/>
      <c r="E36" s="485"/>
      <c r="F36" s="94">
        <f ca="1">F58*$E58</f>
        <v>175.41613252926089</v>
      </c>
      <c r="G36" s="94">
        <f t="shared" ref="G36:Z36" ca="1" si="1">G58*$E58</f>
        <v>973.44654156075933</v>
      </c>
      <c r="H36" s="94">
        <f t="shared" ca="1" si="1"/>
        <v>164.61885992355334</v>
      </c>
      <c r="I36" s="94">
        <f t="shared" ca="1" si="1"/>
        <v>149.46703274914123</v>
      </c>
      <c r="J36" s="94">
        <f t="shared" ca="1" si="1"/>
        <v>240.36946100075596</v>
      </c>
      <c r="K36" s="94">
        <f t="shared" ca="1" si="1"/>
        <v>141.77144825560106</v>
      </c>
      <c r="L36" s="94">
        <f t="shared" ca="1" si="1"/>
        <v>166.24550378688582</v>
      </c>
      <c r="M36" s="94">
        <f t="shared" ca="1" si="1"/>
        <v>102.61118768844521</v>
      </c>
      <c r="N36" s="94">
        <f t="shared" ca="1" si="1"/>
        <v>87.118756441760752</v>
      </c>
      <c r="O36" s="94">
        <f t="shared" ca="1" si="1"/>
        <v>107.46684421609982</v>
      </c>
      <c r="P36" s="94">
        <f t="shared" ca="1" si="1"/>
        <v>107.46684421609982</v>
      </c>
      <c r="Q36" s="94">
        <f t="shared" ca="1" si="1"/>
        <v>152.2805399862348</v>
      </c>
      <c r="R36" s="94">
        <f t="shared" ca="1" si="1"/>
        <v>102.14635531667351</v>
      </c>
      <c r="S36" s="94">
        <f t="shared" ca="1" si="1"/>
        <v>114.28108799474592</v>
      </c>
      <c r="T36" s="94">
        <f t="shared" ca="1" si="1"/>
        <v>89.400584302383066</v>
      </c>
      <c r="U36" s="94">
        <f t="shared" ca="1" si="1"/>
        <v>157.43596698173585</v>
      </c>
      <c r="V36" s="94">
        <f t="shared" ca="1" si="1"/>
        <v>148.91364519510856</v>
      </c>
      <c r="W36" s="94">
        <f t="shared" ca="1" si="1"/>
        <v>196.64701233118228</v>
      </c>
      <c r="X36" s="94">
        <f t="shared" ca="1" si="1"/>
        <v>140.99782883195144</v>
      </c>
      <c r="Y36" s="94">
        <f t="shared" ca="1" si="1"/>
        <v>230.83227129959502</v>
      </c>
      <c r="Z36" s="94">
        <f t="shared" ca="1" si="1"/>
        <v>230.83227129959502</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842.3</v>
      </c>
      <c r="P38">
        <f ca="1">F38</f>
        <v>842.3</v>
      </c>
      <c r="Z38">
        <f ca="1">MAX(P56:Z56)</f>
        <v>937.5</v>
      </c>
    </row>
    <row r="39" spans="1:26" x14ac:dyDescent="0.3">
      <c r="A39" s="481"/>
      <c r="B39" s="153"/>
      <c r="C39" s="153"/>
      <c r="D39" s="153"/>
      <c r="E39" s="153"/>
    </row>
    <row r="40" spans="1:26" x14ac:dyDescent="0.3">
      <c r="A40" s="481" t="s">
        <v>2090</v>
      </c>
      <c r="B40" s="481">
        <v>1.4</v>
      </c>
      <c r="C40" s="153"/>
      <c r="D40" s="153"/>
      <c r="E40" s="153"/>
      <c r="F40" s="489">
        <f ca="1">B40*MAX(C$35:C$36)</f>
        <v>1362.8251581850629</v>
      </c>
      <c r="P40" s="489">
        <f ca="1">F40</f>
        <v>1362.8251581850629</v>
      </c>
      <c r="Z40">
        <v>0</v>
      </c>
    </row>
    <row r="41" spans="1:26" x14ac:dyDescent="0.3">
      <c r="A41" s="153" t="s">
        <v>1672</v>
      </c>
      <c r="B41" s="481">
        <v>1.3</v>
      </c>
      <c r="C41" s="153"/>
      <c r="D41" s="153"/>
      <c r="E41" s="153"/>
      <c r="F41" s="94">
        <f ca="1">B41*MAX(C$35:C$36)</f>
        <v>1265.4805040289871</v>
      </c>
      <c r="P41" s="94">
        <f ca="1">F41</f>
        <v>1265.4805040289871</v>
      </c>
      <c r="Z41" s="94">
        <f ca="1">B41*MIN(B$35:B$36)</f>
        <v>-577.16456654588717</v>
      </c>
    </row>
    <row r="42" spans="1:26" x14ac:dyDescent="0.3">
      <c r="A42" s="153" t="s">
        <v>1673</v>
      </c>
      <c r="B42" s="481">
        <v>1.2</v>
      </c>
      <c r="C42" s="153"/>
      <c r="D42" s="153"/>
      <c r="E42" s="153"/>
      <c r="F42" s="94">
        <f t="shared" ref="F42:F43" ca="1" si="2">B42*MAX(C$35:C$36)</f>
        <v>1168.1358498729112</v>
      </c>
      <c r="P42" s="94">
        <f t="shared" ref="P42:P43" ca="1" si="3">F42</f>
        <v>1168.1358498729112</v>
      </c>
      <c r="Z42" s="94">
        <f t="shared" ref="Z42:Z43" ca="1" si="4">B42*MIN(B$35:B$36)</f>
        <v>-532.76729219620358</v>
      </c>
    </row>
    <row r="43" spans="1:26" x14ac:dyDescent="0.3">
      <c r="A43" s="153" t="s">
        <v>1674</v>
      </c>
      <c r="B43" s="481">
        <v>1.1000000000000001</v>
      </c>
      <c r="C43" s="153"/>
      <c r="D43" s="153"/>
      <c r="E43" s="153"/>
      <c r="F43" s="94">
        <f t="shared" ca="1" si="2"/>
        <v>1070.7911957168353</v>
      </c>
      <c r="P43" s="94">
        <f t="shared" ca="1" si="3"/>
        <v>1070.7911957168353</v>
      </c>
      <c r="Z43" s="94">
        <f t="shared" ca="1" si="4"/>
        <v>-488.37001784651994</v>
      </c>
    </row>
    <row r="44" spans="1:26" x14ac:dyDescent="0.3">
      <c r="A44" s="485" t="s">
        <v>1675</v>
      </c>
      <c r="B44" s="488">
        <f ca="1">_xlfn.XLOOKUP(ChaChaTicker,TabCalc[Ticker],TabCalc[L_Sp])</f>
        <v>910.25</v>
      </c>
      <c r="C44" s="485"/>
      <c r="D44" s="485"/>
      <c r="E44" s="485"/>
      <c r="F44" s="489">
        <f ca="1">_xlfn.XLOOKUP(ChaChaTicker,TabCalc[Ticker],TabCalc[L_Sp])</f>
        <v>910.25</v>
      </c>
      <c r="P44">
        <f ca="1">F44</f>
        <v>910.25</v>
      </c>
      <c r="Z44">
        <f ca="1">P44</f>
        <v>910.25</v>
      </c>
    </row>
    <row r="45" spans="1:26" x14ac:dyDescent="0.3">
      <c r="A45" s="485" t="s">
        <v>1676</v>
      </c>
      <c r="B45" s="488">
        <f ca="1">ABS(_xlfn.XLOOKUP(ChaChaTicker,TabCalc[Ticker],TabCalc[L_Bp]))</f>
        <v>813.9</v>
      </c>
      <c r="C45" s="485"/>
      <c r="D45" s="485"/>
      <c r="E45" s="485"/>
      <c r="F45" s="489">
        <f ca="1">ABS(_xlfn.XLOOKUP(ChaChaTicker,TabCalc[Ticker],TabCalc[L_Bp]))</f>
        <v>813.9</v>
      </c>
      <c r="P45">
        <f ca="1">F45</f>
        <v>813.9</v>
      </c>
      <c r="Z45">
        <f ca="1">P45</f>
        <v>813.9</v>
      </c>
    </row>
    <row r="46" spans="1:26" x14ac:dyDescent="0.3">
      <c r="A46" s="485" t="s">
        <v>1677</v>
      </c>
      <c r="B46" s="488">
        <f ca="1">_xlfn.XLOOKUP(ChaChaTicker,TabCalc[Ticker],TabCalc[Min_SP])</f>
        <v>636.70000000000005</v>
      </c>
      <c r="C46" s="485"/>
      <c r="D46" s="485"/>
      <c r="E46" s="485"/>
      <c r="F46" s="489">
        <f ca="1">_xlfn.XLOOKUP(ChaChaTicker,TabCalc[Ticker],TabCalc[Min_SP])</f>
        <v>636.70000000000005</v>
      </c>
      <c r="P46">
        <f t="shared" ref="P46:P49" ca="1" si="5">F46</f>
        <v>636.70000000000005</v>
      </c>
      <c r="Z46">
        <f t="shared" ref="Z46:Z49" ca="1" si="6">P46</f>
        <v>636.70000000000005</v>
      </c>
    </row>
    <row r="47" spans="1:26" x14ac:dyDescent="0.3">
      <c r="A47" s="485" t="s">
        <v>1678</v>
      </c>
      <c r="B47" s="488">
        <f ca="1">ABS(_xlfn.XLOOKUP(ChaChaTicker,TabCalc[Ticker],TabCalc[Min_PP]))</f>
        <v>945</v>
      </c>
      <c r="C47" s="485"/>
      <c r="D47" s="485"/>
      <c r="E47" s="485"/>
      <c r="F47" s="489">
        <f ca="1">ABS(_xlfn.XLOOKUP(ChaChaTicker,TabCalc[Ticker],TabCalc[Min_PP]))</f>
        <v>945</v>
      </c>
      <c r="P47">
        <f t="shared" ca="1" si="5"/>
        <v>945</v>
      </c>
      <c r="Z47">
        <f t="shared" ca="1" si="6"/>
        <v>945</v>
      </c>
    </row>
    <row r="48" spans="1:26" x14ac:dyDescent="0.3">
      <c r="A48" s="485" t="s">
        <v>1679</v>
      </c>
      <c r="B48" s="488">
        <f ca="1">_xlfn.XLOOKUP(ChaChaTicker,TabCalc[Ticker],TabCalc[Max_SP])</f>
        <v>982.8</v>
      </c>
      <c r="C48" s="485"/>
      <c r="D48" s="485"/>
      <c r="E48" s="485"/>
      <c r="F48" s="489">
        <f ca="1">_xlfn.XLOOKUP(ChaChaTicker,TabCalc[Ticker],TabCalc[Max_SP])</f>
        <v>982.8</v>
      </c>
      <c r="P48">
        <f t="shared" ca="1" si="5"/>
        <v>982.8</v>
      </c>
      <c r="Z48">
        <f t="shared" ca="1" si="6"/>
        <v>982.8</v>
      </c>
    </row>
    <row r="49" spans="1:26" x14ac:dyDescent="0.3">
      <c r="A49" s="485" t="s">
        <v>1680</v>
      </c>
      <c r="B49" s="488">
        <f ca="1">ABS(_xlfn.XLOOKUP(ChaChaTicker,TabCalc[Ticker],TabCalc[Max_PP]))</f>
        <v>599.29999999999995</v>
      </c>
      <c r="C49" s="485"/>
      <c r="D49" s="485"/>
      <c r="E49" s="485"/>
      <c r="F49" s="489">
        <f ca="1">ABS(_xlfn.XLOOKUP(ChaChaTicker,TabCalc[Ticker],TabCalc[Max_PP]))</f>
        <v>599.29999999999995</v>
      </c>
      <c r="P49">
        <f t="shared" ca="1" si="5"/>
        <v>599.29999999999995</v>
      </c>
      <c r="Z49">
        <f t="shared" ca="1" si="6"/>
        <v>599.29999999999995</v>
      </c>
    </row>
    <row r="50" spans="1:26" x14ac:dyDescent="0.3">
      <c r="A50" s="195" t="s">
        <v>131</v>
      </c>
      <c r="B50" s="195">
        <f ca="1">_xlfn.XLOOKUP(ChaChaTicker,TabCalc[Ticker],TabCalc[M])</f>
        <v>870.8</v>
      </c>
      <c r="C50" s="195"/>
      <c r="D50" s="195"/>
      <c r="E50" s="195"/>
      <c r="F50" s="489">
        <f ca="1">_xlfn.XLOOKUP(ChaChaTicker,TabCalc[Ticker],TabCalc[M])</f>
        <v>870.8</v>
      </c>
      <c r="P50">
        <f ca="1">F50</f>
        <v>870.8</v>
      </c>
      <c r="Z50">
        <f ca="1">P50</f>
        <v>870.8</v>
      </c>
    </row>
    <row r="51" spans="1:26" x14ac:dyDescent="0.3">
      <c r="A51" s="195" t="s">
        <v>1850</v>
      </c>
      <c r="B51" s="526">
        <f ca="1">ChaRSI!B51</f>
        <v>659.34</v>
      </c>
      <c r="C51" s="195"/>
      <c r="D51" s="195"/>
      <c r="E51" s="195"/>
      <c r="F51" s="526">
        <f ca="1">ChaRSI!F51</f>
        <v>659.34</v>
      </c>
      <c r="G51" s="195"/>
      <c r="H51" s="195"/>
      <c r="I51" s="195"/>
      <c r="J51" s="195"/>
      <c r="K51" s="195"/>
      <c r="L51" s="195"/>
      <c r="M51" s="195"/>
      <c r="N51" s="195"/>
      <c r="O51" s="195"/>
      <c r="P51" s="526">
        <f ca="1">ChaRSI!P51</f>
        <v>659.34</v>
      </c>
      <c r="Q51" s="195"/>
      <c r="R51" s="195"/>
      <c r="S51" s="195"/>
      <c r="T51" s="195"/>
      <c r="U51" s="195"/>
      <c r="V51" s="195"/>
      <c r="W51" s="195"/>
      <c r="X51" s="195"/>
      <c r="Y51" s="195"/>
      <c r="Z51" s="526">
        <f ca="1">ChaRSI!Z51</f>
        <v>659.34</v>
      </c>
    </row>
    <row r="52" spans="1:26" x14ac:dyDescent="0.3">
      <c r="A52" s="490" t="s">
        <v>1682</v>
      </c>
      <c r="B52" s="491">
        <f ca="1">MIN(B44:B45,P56:Z56)</f>
        <v>813.9</v>
      </c>
      <c r="C52" s="491">
        <f ca="1">MAX(B44:B45,P56:Z56)</f>
        <v>937.5</v>
      </c>
    </row>
    <row r="53" spans="1:26" x14ac:dyDescent="0.3">
      <c r="A53" s="490" t="s">
        <v>1683</v>
      </c>
      <c r="B53" s="491">
        <f ca="1">MIN(B44:B49,F56:Z56)</f>
        <v>599.29999999999995</v>
      </c>
      <c r="C53" s="491">
        <f ca="1">MAX(B44:B49,F56:Z56)</f>
        <v>982.8</v>
      </c>
    </row>
    <row r="54" spans="1:26" x14ac:dyDescent="0.3">
      <c r="A54" s="490" t="s">
        <v>1681</v>
      </c>
      <c r="B54" s="490">
        <f ca="1">MIN(B44:B48,F56:Z56)</f>
        <v>636.70000000000005</v>
      </c>
      <c r="C54" s="491">
        <f ca="1">MAX(B44:B48,F56:Z56)</f>
        <v>982.8</v>
      </c>
    </row>
    <row r="55" spans="1:26" x14ac:dyDescent="0.3">
      <c r="A55" s="480" t="s">
        <v>1665</v>
      </c>
      <c r="B55" s="480"/>
      <c r="C55" s="480"/>
      <c r="D55" s="480"/>
      <c r="E55" s="480"/>
      <c r="F55" s="484">
        <f ca="1">DataShift!F203</f>
        <v>45940</v>
      </c>
      <c r="G55" s="484">
        <f ca="1">DataShift!G203</f>
        <v>45943</v>
      </c>
      <c r="H55" s="484">
        <f ca="1">DataShift!H203</f>
        <v>45944</v>
      </c>
      <c r="I55" s="484">
        <f ca="1">DataShift!I203</f>
        <v>45945</v>
      </c>
      <c r="J55" s="484">
        <f ca="1">DataShift!J203</f>
        <v>45946</v>
      </c>
      <c r="K55" s="484">
        <f ca="1">DataShift!K203</f>
        <v>45947</v>
      </c>
      <c r="L55" s="484">
        <f ca="1">DataShift!L203</f>
        <v>45950</v>
      </c>
      <c r="M55" s="484">
        <f ca="1">DataShift!M203</f>
        <v>45951</v>
      </c>
      <c r="N55" s="484">
        <f ca="1">DataShift!N203</f>
        <v>45952</v>
      </c>
      <c r="O55" s="484">
        <f ca="1">DataShift!O203</f>
        <v>45953</v>
      </c>
      <c r="P55" s="484">
        <f ca="1">DataShift!P203</f>
        <v>45954</v>
      </c>
      <c r="Q55" s="484">
        <f ca="1">DataShift!Q203</f>
        <v>45957</v>
      </c>
      <c r="R55" s="484">
        <f ca="1">DataShift!R203</f>
        <v>45958</v>
      </c>
      <c r="S55" s="484">
        <f ca="1">DataShift!S203</f>
        <v>45959</v>
      </c>
      <c r="T55" s="484">
        <f ca="1">DataShift!T203</f>
        <v>45960</v>
      </c>
      <c r="U55" s="484">
        <f ca="1">DataShift!U203</f>
        <v>45961</v>
      </c>
      <c r="V55" s="484">
        <f ca="1">DataShift!V203</f>
        <v>45964</v>
      </c>
      <c r="W55" s="484">
        <f ca="1">DataShift!W203</f>
        <v>45965</v>
      </c>
      <c r="X55" s="484">
        <f ca="1">DataShift!X203</f>
        <v>45966</v>
      </c>
      <c r="Y55" s="484">
        <f ca="1">DataShift!Y203</f>
        <v>45967</v>
      </c>
      <c r="Z55" s="484">
        <f ca="1">DataShift!Z203</f>
        <v>45968</v>
      </c>
    </row>
    <row r="56" spans="1:26" x14ac:dyDescent="0.3">
      <c r="A56" s="153" t="s">
        <v>139</v>
      </c>
      <c r="B56" s="153">
        <f ca="1">MIN(F56:Z56)</f>
        <v>842.3</v>
      </c>
      <c r="C56" s="153">
        <f ca="1">MAX(F56:Z56)</f>
        <v>937.5</v>
      </c>
      <c r="D56" s="483">
        <f ca="1">AVERAGE(F56:Y56)</f>
        <v>883.18</v>
      </c>
      <c r="E56" s="153"/>
      <c r="F56" cm="1">
        <f t="array" aca="1" ref="F56" ca="1">_xlfn.XLOOKUP(ChaChaTicker,ListTickers,Tab1Price[Price0])</f>
        <v>849.8</v>
      </c>
      <c r="G56" cm="1">
        <f t="array" aca="1" ref="G56" ca="1">_xlfn.XLOOKUP(ChaRSITicker,ListTickers,Tab1Price[Price1])</f>
        <v>842.3</v>
      </c>
      <c r="H56" cm="1">
        <f t="array" aca="1" ref="H56" ca="1">_xlfn.XLOOKUP(ChaRSITicker,ListTickers,Tab1Price[Price2])</f>
        <v>844</v>
      </c>
      <c r="I56" cm="1">
        <f t="array" aca="1" ref="I56" ca="1">_xlfn.XLOOKUP(ChaRSITicker,ListTickers,Tab1Price[Price3])</f>
        <v>846.6</v>
      </c>
      <c r="J56" cm="1">
        <f t="array" aca="1" ref="J56" ca="1">_xlfn.XLOOKUP(ChaRSITicker,ListTickers,Tab1Price[Price4])</f>
        <v>873</v>
      </c>
      <c r="K56" cm="1">
        <f t="array" aca="1" ref="K56" ca="1">_xlfn.XLOOKUP(ChaRSITicker,ListTickers,Tab1Price[Price5])</f>
        <v>877.4</v>
      </c>
      <c r="L56" cm="1">
        <f t="array" aca="1" ref="L56" ca="1">_xlfn.XLOOKUP(ChaRSITicker,ListTickers,Tab1Price[Price6])</f>
        <v>875.7</v>
      </c>
      <c r="M56" cm="1">
        <f t="array" aca="1" ref="M56" ca="1">_xlfn.XLOOKUP(ChaRSITicker,ListTickers,Tab1Price[Price7])</f>
        <v>899</v>
      </c>
      <c r="N56" cm="1">
        <f t="array" aca="1" ref="N56" ca="1">_xlfn.XLOOKUP(ChaRSITicker,ListTickers,Tab1Price[Price8])</f>
        <v>889.8</v>
      </c>
      <c r="O56" cm="1">
        <f t="array" aca="1" ref="O56" ca="1">_xlfn.XLOOKUP(ChaRSITicker,ListTickers,Tab1Price[Price9])</f>
        <v>870.1</v>
      </c>
      <c r="P56" cm="1">
        <f t="array" aca="1" ref="P56" ca="1">_xlfn.XLOOKUP(ChaRSITicker,ListTickers,Tab1Price[Price10])</f>
        <v>870.1</v>
      </c>
      <c r="Q56" cm="1">
        <f t="array" aca="1" ref="Q56" ca="1">_xlfn.XLOOKUP(ChaRSITicker,ListTickers,Tab1Price[Price11])</f>
        <v>887.7</v>
      </c>
      <c r="R56" cm="1">
        <f t="array" aca="1" ref="R56" ca="1">_xlfn.XLOOKUP(ChaRSITicker,ListTickers,Tab1Price[Price12])</f>
        <v>894.4</v>
      </c>
      <c r="S56" cm="1">
        <f t="array" aca="1" ref="S56" ca="1">_xlfn.XLOOKUP(ChaRSITicker,ListTickers,Tab1Price[Price13])</f>
        <v>908.1</v>
      </c>
      <c r="T56" cm="1">
        <f t="array" aca="1" ref="T56" ca="1">_xlfn.XLOOKUP(ChaRSITicker,ListTickers,Tab1Price[Price14])</f>
        <v>907.4</v>
      </c>
      <c r="U56" cm="1">
        <f t="array" aca="1" ref="U56" ca="1">_xlfn.XLOOKUP(ChaRSITicker,ListTickers,Tab1Price[Price15])</f>
        <v>937.5</v>
      </c>
      <c r="V56" cm="1">
        <f t="array" aca="1" ref="V56" ca="1">_xlfn.XLOOKUP(ChaRSITicker,ListTickers,Tab1Price[Price16])</f>
        <v>918</v>
      </c>
      <c r="W56" cm="1">
        <f t="array" aca="1" ref="W56" ca="1">_xlfn.XLOOKUP(ChaRSITicker,ListTickers,Tab1Price[Price17])</f>
        <v>906.6</v>
      </c>
      <c r="X56" cm="1">
        <f t="array" aca="1" ref="X56" ca="1">_xlfn.XLOOKUP(ChaRSITicker,ListTickers,Tab1Price[Price18])</f>
        <v>895.3</v>
      </c>
      <c r="Y56" cm="1">
        <f t="array" aca="1" ref="Y56" ca="1">_xlfn.XLOOKUP(ChaRSITicker,ListTickers,Tab1Price[Price19])</f>
        <v>870.8</v>
      </c>
      <c r="Z56" cm="1">
        <f t="array" aca="1" ref="Z56" ca="1">_xlfn.XLOOKUP(ChaRSITicker,ListTickers,Tab1Price[Price20])</f>
        <v>870.8</v>
      </c>
    </row>
    <row r="57" spans="1:26" x14ac:dyDescent="0.3">
      <c r="A57" s="153" t="s">
        <v>195</v>
      </c>
      <c r="B57" s="482">
        <f t="shared" ref="B57" ca="1" si="7">MIN(F57:Z57)</f>
        <v>-2.7365E-2</v>
      </c>
      <c r="C57" s="482">
        <f t="shared" ref="C57" ca="1" si="8">MAX(F57:Z57)</f>
        <v>3.6982000000000001E-2</v>
      </c>
      <c r="D57" s="483">
        <f ca="1">IFERROR(AVERAGEIF(F57:Y57, "&gt;0"), "")</f>
        <v>1.6666779999999999E-2</v>
      </c>
      <c r="E57" s="153">
        <f ca="1">E58</f>
        <v>162.24109026012655</v>
      </c>
      <c r="F57" s="310" cm="1">
        <f t="array" aca="1" ref="F57" ca="1">_xlfn.XLOOKUP(ChaChaTicker,ListTickers,Tab1ChangePercent[Change%0])</f>
        <v>-2.3480000000000003E-3</v>
      </c>
      <c r="G57" s="310" cm="1">
        <f t="array" aca="1" ref="G57" ca="1">_xlfn.XLOOKUP(ChaChaTicker,ListTickers,Tab1ChangePercent[Change%1])</f>
        <v>-8.8260000000000005E-3</v>
      </c>
      <c r="H57" s="310" cm="1">
        <f t="array" aca="1" ref="H57" ca="1">_xlfn.XLOOKUP(ChaChaTicker,ListTickers,Tab1ChangePercent[Change%2])</f>
        <v>3.6982000000000001E-2</v>
      </c>
      <c r="I57" s="310" cm="1">
        <f t="array" aca="1" ref="I57" ca="1">_xlfn.XLOOKUP(ChaChaTicker,ListTickers,Tab1ChangePercent[Change%3])</f>
        <v>3.081E-3</v>
      </c>
      <c r="J57" s="310" cm="1">
        <f t="array" aca="1" ref="J57" ca="1">_xlfn.XLOOKUP(ChaChaTicker,ListTickers,Tab1ChangePercent[Change%4])</f>
        <v>3.1184E-2</v>
      </c>
      <c r="K57" s="310" cm="1">
        <f t="array" aca="1" ref="K57" ca="1">_xlfn.XLOOKUP(ChaChaTicker,ListTickers,Tab1ChangePercent[Change%5])</f>
        <v>5.0400000000000002E-3</v>
      </c>
      <c r="L57" s="310" cm="1">
        <f t="array" aca="1" ref="L57" ca="1">_xlfn.XLOOKUP(ChaChaTicker,ListTickers,Tab1ChangePercent[Change%6])</f>
        <v>-1.9380000000000001E-3</v>
      </c>
      <c r="M57" s="310" cm="1">
        <f t="array" aca="1" ref="M57" ca="1">_xlfn.XLOOKUP(ChaChaTicker,ListTickers,Tab1ChangePercent[Change%7])</f>
        <v>2.6606999999999999E-2</v>
      </c>
      <c r="N57" s="310" cm="1">
        <f t="array" aca="1" ref="N57" ca="1">_xlfn.XLOOKUP(ChaChaTicker,ListTickers,Tab1ChangePercent[Change%8])</f>
        <v>-1.0234E-2</v>
      </c>
      <c r="O57" s="310" cm="1">
        <f t="array" aca="1" ref="O57" ca="1">_xlfn.XLOOKUP(ChaChaTicker,ListTickers,Tab1ChangePercent[Change%9])</f>
        <v>-2.214E-2</v>
      </c>
      <c r="P57" s="310" cm="1">
        <f t="array" aca="1" ref="P57" ca="1">_xlfn.XLOOKUP(ChaChaTicker,ListTickers,Tab1ChangePercent[Change%10])</f>
        <v>-2.214E-2</v>
      </c>
      <c r="Q57" s="310" cm="1">
        <f t="array" aca="1" ref="Q57" ca="1">_xlfn.XLOOKUP(ChaChaTicker,ListTickers,Tab1ChangePercent[Change%11])</f>
        <v>2.0228000000000003E-2</v>
      </c>
      <c r="R57" s="310" cm="1">
        <f t="array" aca="1" ref="R57" ca="1">_xlfn.XLOOKUP(ChaChaTicker,ListTickers,Tab1ChangePercent[Change%12])</f>
        <v>7.548E-3</v>
      </c>
      <c r="S57" s="310" cm="1">
        <f t="array" aca="1" ref="S57" ca="1">_xlfn.XLOOKUP(ChaChaTicker,ListTickers,Tab1ChangePercent[Change%13])</f>
        <v>1.5318E-2</v>
      </c>
      <c r="T57" s="310" cm="1">
        <f t="array" aca="1" ref="T57" ca="1">_xlfn.XLOOKUP(ChaChaTicker,ListTickers,Tab1ChangePercent[Change%14])</f>
        <v>9.9279999999999985E-4</v>
      </c>
      <c r="U57" s="310" cm="1">
        <f t="array" aca="1" ref="U57" ca="1">_xlfn.XLOOKUP(ChaChaTicker,ListTickers,Tab1ChangePercent[Change%15])</f>
        <v>1.9687E-2</v>
      </c>
      <c r="V57" s="310" cm="1">
        <f t="array" aca="1" ref="V57" ca="1">_xlfn.XLOOKUP(ChaChaTicker,ListTickers,Tab1ChangePercent[Change%16])</f>
        <v>-9.1739999999999999E-3</v>
      </c>
      <c r="W57" s="310" cm="1">
        <f t="array" aca="1" ref="W57" ca="1">_xlfn.XLOOKUP(ChaChaTicker,ListTickers,Tab1ChangePercent[Change%17])</f>
        <v>-1.2418E-2</v>
      </c>
      <c r="X57" s="310" cm="1">
        <f t="array" aca="1" ref="X57" ca="1">_xlfn.XLOOKUP(ChaChaTicker,ListTickers,Tab1ChangePercent[Change%18])</f>
        <v>-1.2463999999999999E-2</v>
      </c>
      <c r="Y57" s="310" cm="1">
        <f t="array" aca="1" ref="Y57" ca="1">_xlfn.XLOOKUP(ChaChaTicker,ListTickers,Tab1ChangePercent[Change%19])</f>
        <v>-2.7365E-2</v>
      </c>
      <c r="Z57" s="310" cm="1">
        <f t="array" aca="1" ref="Z57" ca="1">_xlfn.XLOOKUP(ChaChaTicker,ListTickers,Tab1ChangePercent[Change%20])</f>
        <v>-2.7365E-2</v>
      </c>
    </row>
    <row r="58" spans="1:26" x14ac:dyDescent="0.3">
      <c r="A58" s="153" t="s">
        <v>544</v>
      </c>
      <c r="B58" s="482">
        <f t="shared" ref="B58" ca="1" si="9">MIN(F58:Z58)</f>
        <v>0.53697097512153269</v>
      </c>
      <c r="C58" s="482">
        <f t="shared" ref="C58" ca="1" si="10">MAX(F58:Z58)</f>
        <v>6</v>
      </c>
      <c r="D58" s="483">
        <f ca="1">IFERROR(AVERAGEIF(F58:Y58, "&gt;0"), "")</f>
        <v>1.1553589471684338</v>
      </c>
      <c r="E58" s="153">
        <f ca="1">C58/C57</f>
        <v>162.24109026012655</v>
      </c>
      <c r="F58" s="90" cm="1">
        <f t="array" aca="1" ref="F58" ca="1">_xlfn.XLOOKUP(ChaChaTicker,ListTickers,Tab2Agiotage[XAgio0])</f>
        <v>1.0812065688661876</v>
      </c>
      <c r="G58" s="90" cm="1">
        <f t="array" aca="1" ref="G58" ca="1">_xlfn.XLOOKUP(ChaRSITicker,ListTickers,Tab2Free2[Price_R_1])</f>
        <v>6</v>
      </c>
      <c r="H58" s="90" cm="1">
        <f t="array" aca="1" ref="H58" ca="1">_xlfn.XLOOKUP(ChaRSITicker,ListTickers,Tab2Agiotage[XAgio2])</f>
        <v>1.0146557796154749</v>
      </c>
      <c r="I58" s="90" cm="1">
        <f t="array" aca="1" ref="I58" ca="1">_xlfn.XLOOKUP(ChaRSITicker,ListTickers,Tab2Agiotage[XAgio3])</f>
        <v>0.9212649675214567</v>
      </c>
      <c r="J58" s="90" cm="1">
        <f t="array" aca="1" ref="J58" ca="1">_xlfn.XLOOKUP(ChaRSITicker,ListTickers,Tab2Agiotage[XAgio4])</f>
        <v>1.4815572344549928</v>
      </c>
      <c r="K58" s="90" cm="1">
        <f t="array" aca="1" ref="K58" ca="1">_xlfn.XLOOKUP(ChaRSITicker,ListTickers,Tab2Agiotage[XAgio5])</f>
        <v>0.87383194989810631</v>
      </c>
      <c r="L58" s="90" cm="1">
        <f t="array" aca="1" ref="L58" ca="1">_xlfn.XLOOKUP(ChaRSITicker,ListTickers,Tab2Agiotage[XAgio6])</f>
        <v>1.0246818701744351</v>
      </c>
      <c r="M58" s="90" cm="1">
        <f t="array" aca="1" ref="M58" ca="1">_xlfn.XLOOKUP(ChaRSITicker,ListTickers,Tab2Agiotage[XAgio7])</f>
        <v>0.63246115718234674</v>
      </c>
      <c r="N58" s="90" cm="1">
        <f t="array" aca="1" ref="N58" ca="1">_xlfn.XLOOKUP(ChaRSITicker,ListTickers,Tab2Agiotage[XAgio8])</f>
        <v>0.53697097512153269</v>
      </c>
      <c r="O58" s="90" cm="1">
        <f t="array" aca="1" ref="O58" ca="1">_xlfn.XLOOKUP(ChaRSITicker,ListTickers,Tab2Agiotage[XAgio9])</f>
        <v>0.66238980546663384</v>
      </c>
      <c r="P58" s="90" cm="1">
        <f t="array" aca="1" ref="P58" ca="1">_xlfn.XLOOKUP(ChaRSITicker,ListTickers,Tab2Agiotage[XAgio10])</f>
        <v>0.66238980546663384</v>
      </c>
      <c r="Q58" s="90" cm="1">
        <f t="array" aca="1" ref="Q58" ca="1">_xlfn.XLOOKUP(ChaRSITicker,ListTickers,Tab2Agiotage[XAgio11])</f>
        <v>0.93860648829515581</v>
      </c>
      <c r="R58" s="90" cm="1">
        <f t="array" aca="1" ref="R58" ca="1">_xlfn.XLOOKUP(ChaRSITicker,ListTickers,Tab2Agiotage[XAgio12])</f>
        <v>0.62959608538686995</v>
      </c>
      <c r="S58" s="90" cm="1">
        <f t="array" aca="1" ref="S58" ca="1">_xlfn.XLOOKUP(ChaRSITicker,ListTickers,Tab2Agiotage[XAgio13])</f>
        <v>0.70439053270361551</v>
      </c>
      <c r="T58" s="90" cm="1">
        <f t="array" aca="1" ref="T58" ca="1">_xlfn.XLOOKUP(ChaRSITicker,ListTickers,Tab2Agiotage[XAgio14])</f>
        <v>0.55103540144512175</v>
      </c>
      <c r="U58" s="90" cm="1">
        <f t="array" aca="1" ref="U58" ca="1">_xlfn.XLOOKUP(ChaRSITicker,ListTickers,Tab2Agiotage[XAgio15])</f>
        <v>0.97038282181975921</v>
      </c>
      <c r="V58" s="90" cm="1">
        <f t="array" aca="1" ref="V58" ca="1">_xlfn.XLOOKUP(ChaRSITicker,ListTickers,Tab2Agiotage[XAgio16])</f>
        <v>0.91785407110091743</v>
      </c>
      <c r="W58" s="90" cm="1">
        <f t="array" aca="1" ref="W58" ca="1">_xlfn.XLOOKUP(ChaRSITicker,ListTickers,Tab2Agiotage[XAgio17])</f>
        <v>1.2120666350052971</v>
      </c>
      <c r="X58" s="90" cm="1">
        <f t="array" aca="1" ref="X58" ca="1">_xlfn.XLOOKUP(ChaRSITicker,ListTickers,Tab2Agiotage[XAgio18])</f>
        <v>0.8690636176438713</v>
      </c>
      <c r="Y58" s="90" cm="1">
        <f t="array" aca="1" ref="Y58" ca="1">_xlfn.XLOOKUP(ChaRSITicker,ListTickers,Tab2Agiotage[XAgio19])</f>
        <v>1.4227731762002704</v>
      </c>
      <c r="Z58" s="90" cm="1">
        <f t="array" aca="1" ref="Z58" ca="1">_xlfn.XLOOKUP(ChaRSITicker,ListTickers,Tab2Agiotage[XAgio20])</f>
        <v>1.4227731762002704</v>
      </c>
    </row>
    <row r="59" spans="1:26" x14ac:dyDescent="0.3">
      <c r="A59" s="153" t="s">
        <v>662</v>
      </c>
      <c r="B59" s="153"/>
      <c r="C59" s="153"/>
      <c r="D59" s="153"/>
      <c r="E59" s="153"/>
      <c r="F59" cm="1">
        <f t="array" aca="1" ref="F59" ca="1">_xlfn.XLOOKUP(ChaChaTicker,ListTickers,Tab2RSIConventional[RSIConv0])</f>
        <v>62</v>
      </c>
      <c r="G59" cm="1">
        <f t="array" aca="1" ref="G59" ca="1">_xlfn.XLOOKUP(ChaRSITicker,ListTickers,Tab2RSIConventional[RSIConv1])</f>
        <v>59</v>
      </c>
      <c r="H59" cm="1">
        <f t="array" aca="1" ref="H59" ca="1">_xlfn.XLOOKUP(ChaRSITicker,ListTickers,Tab2RSIConventional[RSIConv2])</f>
        <v>62</v>
      </c>
      <c r="I59" cm="1">
        <f t="array" aca="1" ref="I59" ca="1">_xlfn.XLOOKUP(ChaRSITicker,ListTickers,Tab2RSIConventional[RSIConv3])</f>
        <v>61</v>
      </c>
      <c r="J59" cm="1">
        <f t="array" aca="1" ref="J59" ca="1">_xlfn.XLOOKUP(ChaRSITicker,ListTickers,Tab2RSIConventional[RSIConv4])</f>
        <v>70</v>
      </c>
      <c r="K59" cm="1">
        <f t="array" aca="1" ref="K59" ca="1">_xlfn.XLOOKUP(ChaRSITicker,ListTickers,Tab2RSIConventional[RSIConv5])</f>
        <v>70</v>
      </c>
      <c r="L59" cm="1">
        <f t="array" aca="1" ref="L59" ca="1">_xlfn.XLOOKUP(ChaRSITicker,ListTickers,Tab2RSIConventional[RSIConv6])</f>
        <v>69</v>
      </c>
      <c r="M59" cm="1">
        <f t="array" aca="1" ref="M59" ca="1">_xlfn.XLOOKUP(ChaRSITicker,ListTickers,Tab2RSIConventional[RSIConv7])</f>
        <v>71</v>
      </c>
      <c r="N59" cm="1">
        <f t="array" aca="1" ref="N59" ca="1">_xlfn.XLOOKUP(ChaRSITicker,ListTickers,Tab2RSIConventional[RSIConv8])</f>
        <v>67</v>
      </c>
      <c r="O59" cm="1">
        <f t="array" aca="1" ref="O59" ca="1">_xlfn.XLOOKUP(ChaRSITicker,ListTickers,Tab2RSIConventional[RSIConv9])</f>
        <v>59</v>
      </c>
      <c r="P59" cm="1">
        <f t="array" aca="1" ref="P59" ca="1">_xlfn.XLOOKUP(ChaRSITicker,ListTickers,Tab2RSIConventional[RSIConv10])</f>
        <v>45</v>
      </c>
      <c r="Q59" cm="1">
        <f t="array" aca="1" ref="Q59" ca="1">_xlfn.XLOOKUP(ChaRSITicker,ListTickers,Tab2RSIConventional[RSIConv11])</f>
        <v>50</v>
      </c>
      <c r="R59" cm="1">
        <f t="array" aca="1" ref="R59" ca="1">_xlfn.XLOOKUP(ChaRSITicker,ListTickers,Tab2RSIConventional[RSIConv12])</f>
        <v>57</v>
      </c>
      <c r="S59" cm="1">
        <f t="array" aca="1" ref="S59" ca="1">_xlfn.XLOOKUP(ChaRSITicker,ListTickers,Tab2RSIConventional[RSIConv13])</f>
        <v>67</v>
      </c>
      <c r="T59" cm="1">
        <f t="array" aca="1" ref="T59" ca="1">_xlfn.XLOOKUP(ChaRSITicker,ListTickers,Tab2RSIConventional[RSIConv14])</f>
        <v>68</v>
      </c>
      <c r="U59" cm="1">
        <f t="array" aca="1" ref="U59" ca="1">_xlfn.XLOOKUP(ChaRSITicker,ListTickers,Tab2RSIConventional[RSIConv15])</f>
        <v>74</v>
      </c>
      <c r="V59" cm="1">
        <f t="array" aca="1" ref="V59" ca="1">_xlfn.XLOOKUP(ChaRSITicker,ListTickers,Tab2RSIConventional[RSIConv16])</f>
        <v>65</v>
      </c>
      <c r="W59" cm="1">
        <f t="array" aca="1" ref="W59" ca="1">_xlfn.XLOOKUP(ChaRSITicker,ListTickers,Tab2RSIConventional[RSIConv17])</f>
        <v>61</v>
      </c>
      <c r="X59" cm="1">
        <f t="array" aca="1" ref="X59" ca="1">_xlfn.XLOOKUP(ChaRSITicker,ListTickers,Tab2RSIConventional[RSIConv18])</f>
        <v>50</v>
      </c>
      <c r="Y59" cm="1">
        <f t="array" aca="1" ref="Y59" ca="1">_xlfn.XLOOKUP(ChaRSITicker,ListTickers,Tab2RSIConventional[RSIConv19])</f>
        <v>42</v>
      </c>
      <c r="Z59" cm="1">
        <f t="array" aca="1" ref="Z59" ca="1">_xlfn.XLOOKUP(ChaRSITicker,ListTickers,Tab2RSIConventional[RSIConv20])</f>
        <v>42</v>
      </c>
    </row>
    <row r="60" spans="1:26" x14ac:dyDescent="0.3">
      <c r="A60" s="153"/>
      <c r="B60" s="153"/>
      <c r="C60" s="153"/>
      <c r="D60" s="153"/>
      <c r="E60" s="481">
        <v>1</v>
      </c>
      <c r="F60" s="221">
        <f t="shared" ref="F60:Z60" ca="1" si="11">$E58</f>
        <v>162.24109026012655</v>
      </c>
      <c r="G60" s="221">
        <f t="shared" ca="1" si="11"/>
        <v>162.24109026012655</v>
      </c>
      <c r="H60" s="221">
        <f t="shared" ca="1" si="11"/>
        <v>162.24109026012655</v>
      </c>
      <c r="I60" s="221">
        <f t="shared" ca="1" si="11"/>
        <v>162.24109026012655</v>
      </c>
      <c r="J60" s="221">
        <f t="shared" ca="1" si="11"/>
        <v>162.24109026012655</v>
      </c>
      <c r="K60" s="221">
        <f t="shared" ca="1" si="11"/>
        <v>162.24109026012655</v>
      </c>
      <c r="L60" s="221">
        <f t="shared" ca="1" si="11"/>
        <v>162.24109026012655</v>
      </c>
      <c r="M60" s="221">
        <f t="shared" ca="1" si="11"/>
        <v>162.24109026012655</v>
      </c>
      <c r="N60" s="221">
        <f t="shared" ca="1" si="11"/>
        <v>162.24109026012655</v>
      </c>
      <c r="O60" s="221">
        <f t="shared" ca="1" si="11"/>
        <v>162.24109026012655</v>
      </c>
      <c r="P60" s="221">
        <f t="shared" ca="1" si="11"/>
        <v>162.24109026012655</v>
      </c>
      <c r="Q60" s="221">
        <f t="shared" ca="1" si="11"/>
        <v>162.24109026012655</v>
      </c>
      <c r="R60" s="221">
        <f t="shared" ca="1" si="11"/>
        <v>162.24109026012655</v>
      </c>
      <c r="S60" s="221">
        <f t="shared" ca="1" si="11"/>
        <v>162.24109026012655</v>
      </c>
      <c r="T60" s="221">
        <f t="shared" ca="1" si="11"/>
        <v>162.24109026012655</v>
      </c>
      <c r="U60" s="221">
        <f t="shared" ca="1" si="11"/>
        <v>162.24109026012655</v>
      </c>
      <c r="V60" s="221">
        <f t="shared" ca="1" si="11"/>
        <v>162.24109026012655</v>
      </c>
      <c r="W60" s="221">
        <f t="shared" ca="1" si="11"/>
        <v>162.24109026012655</v>
      </c>
      <c r="X60" s="221">
        <f t="shared" ca="1" si="11"/>
        <v>162.24109026012655</v>
      </c>
      <c r="Y60" s="221">
        <f t="shared" ca="1" si="11"/>
        <v>162.24109026012655</v>
      </c>
      <c r="Z60" s="221">
        <f t="shared" ca="1" si="11"/>
        <v>162.24109026012655</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45968</v>
      </c>
    </row>
    <row r="3" spans="1:16" x14ac:dyDescent="0.3">
      <c r="A3" s="62">
        <f ca="1">TODAY()</f>
        <v>45968</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45967</v>
      </c>
      <c r="B4" s="70" t="str" cm="1">
        <f t="array" aca="1" ref="B4" ca="1">IFERROR(_xlfn.TEXTJOIN(", ", TRUE, _xlfn._xlws.FILTER(MSG!C$5:C$98, MSG!B$5:B$98=A4)),"")</f>
        <v>Markov 47% to go Up: and it did it!</v>
      </c>
      <c r="D4" s="71"/>
      <c r="E4" s="70"/>
      <c r="G4" s="71"/>
      <c r="H4" s="70"/>
      <c r="J4" s="71"/>
      <c r="K4" s="70"/>
      <c r="M4" s="71"/>
      <c r="N4" s="70"/>
      <c r="P4" s="71"/>
    </row>
    <row r="5" spans="1:16" x14ac:dyDescent="0.3">
      <c r="A5" s="62">
        <f t="shared" ref="A5:A61" ca="1" si="0">A4-1</f>
        <v>45966</v>
      </c>
      <c r="B5" s="72" t="str" cm="1">
        <f t="array" aca="1" ref="B5" ca="1">IFERROR(_xlfn.TEXTJOIN(", ", TRUE, _xlfn._xlws.FILTER(MSG!C$5:C$98, MSG!B$5:B$98=A5)),"")</f>
        <v/>
      </c>
      <c r="D5" s="71"/>
      <c r="E5" s="72"/>
      <c r="G5" s="71"/>
      <c r="H5" s="72"/>
      <c r="J5" s="71"/>
      <c r="K5" s="72"/>
      <c r="M5" s="71"/>
      <c r="N5" s="72"/>
      <c r="P5" s="71"/>
    </row>
    <row r="6" spans="1:16" x14ac:dyDescent="0.3">
      <c r="A6" s="62">
        <f t="shared" ca="1" si="0"/>
        <v>45965</v>
      </c>
      <c r="B6" s="73" t="str" cm="1">
        <f t="array" aca="1" ref="B6" ca="1">IFERROR(_xlfn.TEXTJOIN(", ", TRUE, _xlfn._xlws.FILTER(MSG!C$5:C$98, MSG!B$5:B$98=A6)),"")</f>
        <v/>
      </c>
      <c r="D6" s="71"/>
      <c r="E6" s="73"/>
      <c r="G6" s="71"/>
      <c r="H6" s="73"/>
      <c r="J6" s="71"/>
      <c r="K6" s="73"/>
      <c r="M6" s="71"/>
      <c r="N6" s="73"/>
      <c r="P6" s="71"/>
    </row>
    <row r="7" spans="1:16" x14ac:dyDescent="0.3">
      <c r="A7" s="62">
        <f t="shared" ca="1" si="0"/>
        <v>45964</v>
      </c>
      <c r="B7" s="74" t="str" cm="1">
        <f t="array" aca="1" ref="B7" ca="1">IFERROR(_xlfn.TEXTJOIN(", ", TRUE, _xlfn._xlws.FILTER(MSG!C$5:C$98, MSG!B$5:B$98=A7)),"")</f>
        <v/>
      </c>
      <c r="D7" s="71"/>
      <c r="E7" s="74"/>
      <c r="G7" s="71"/>
      <c r="H7" s="74"/>
      <c r="J7" s="71"/>
      <c r="K7" s="74"/>
      <c r="M7" s="71"/>
      <c r="N7" s="74"/>
      <c r="P7" s="71"/>
    </row>
    <row r="8" spans="1:16" x14ac:dyDescent="0.3">
      <c r="A8" s="62">
        <f t="shared" ca="1" si="0"/>
        <v>45963</v>
      </c>
      <c r="B8" s="75" t="str" cm="1">
        <f t="array" aca="1" ref="B8" ca="1">IFERROR(_xlfn.TEXTJOIN(", ", TRUE, _xlfn._xlws.FILTER(MSG!C$5:C$98, MSG!B$5:B$98=A8)),"")</f>
        <v/>
      </c>
      <c r="D8" s="71"/>
      <c r="E8" s="75"/>
      <c r="G8" s="71"/>
      <c r="H8" s="75"/>
      <c r="J8" s="71"/>
      <c r="K8" s="75"/>
      <c r="M8" s="71"/>
      <c r="N8" s="75"/>
      <c r="P8" s="71"/>
    </row>
    <row r="9" spans="1:16" x14ac:dyDescent="0.3">
      <c r="A9" s="62">
        <f t="shared" ca="1" si="0"/>
        <v>45962</v>
      </c>
      <c r="B9" s="76" t="str" cm="1">
        <f t="array" aca="1" ref="B9" ca="1">IFERROR(_xlfn.TEXTJOIN(", ", TRUE, _xlfn._xlws.FILTER(MSG!C$5:C$98, MSG!B$5:B$98=A9)),"")</f>
        <v/>
      </c>
      <c r="D9" s="71"/>
      <c r="E9" s="76"/>
      <c r="G9" s="71"/>
      <c r="H9" s="76"/>
      <c r="J9" s="71"/>
      <c r="K9" s="76"/>
      <c r="M9" s="71"/>
      <c r="N9" s="76"/>
      <c r="P9" s="71"/>
    </row>
    <row r="10" spans="1:16" x14ac:dyDescent="0.3">
      <c r="A10" s="62">
        <f t="shared" ca="1" si="0"/>
        <v>45961</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45960</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45959</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45958</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45957</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45956</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45955</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45954</v>
      </c>
      <c r="B17" s="78" t="str" cm="1">
        <f t="array" aca="1" ref="B17" ca="1">IFERROR(_xlfn.TEXTJOIN(", ", TRUE, _xlfn._xlws.FILTER(MSG!C$5:C$98, MSG!B$5:B$98=A17)),"")</f>
        <v>4000(begin 250): HOLD; V^33%, Earning report 10/29, ^^=, Earning report 10/29, ^^^38%, Earning report 10/29, ^^^42%</v>
      </c>
      <c r="D17" s="71"/>
      <c r="E17" s="78"/>
      <c r="G17" s="71"/>
      <c r="H17" s="78"/>
      <c r="J17" s="71"/>
      <c r="K17" s="78"/>
      <c r="M17" s="71"/>
      <c r="N17" s="78"/>
      <c r="P17" s="71"/>
    </row>
    <row r="18" spans="1:16" x14ac:dyDescent="0.3">
      <c r="A18" s="62">
        <f t="shared" ca="1" si="0"/>
        <v>45953</v>
      </c>
      <c r="B18" s="78" t="str" cm="1">
        <f t="array" aca="1" ref="B18" ca="1">IFERROR(_xlfn.TEXTJOIN(", ", TRUE, _xlfn._xlws.FILTER(MSG!C$5:C$98, MSG!B$5:B$98=A18)),"")</f>
        <v>C^A^U33%?, SAFASML: Re-Purchase (888, going do</v>
      </c>
      <c r="D18" s="71"/>
      <c r="E18" s="78"/>
      <c r="G18" s="71"/>
      <c r="H18" s="78"/>
      <c r="J18" s="71"/>
      <c r="K18" s="78"/>
      <c r="M18" s="71"/>
      <c r="N18" s="78"/>
      <c r="P18" s="71"/>
    </row>
    <row r="19" spans="1:16" x14ac:dyDescent="0.3">
      <c r="A19" s="62">
        <f t="shared" ca="1" si="0"/>
        <v>45952</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45951</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45950</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45949</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45948</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45947</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45946</v>
      </c>
      <c r="B25" s="78" t="str" cm="1">
        <f t="array" aca="1" ref="B25" ca="1">IFERROR(_xlfn.TEXTJOIN(", ", TRUE, _xlfn._xlws.FILTER(MSG!C$5:C$98, MSG!B$5:B$98=A25)),"")</f>
        <v>FROM 61.30 to 60.60 to 60.10 VV</v>
      </c>
      <c r="D25" s="71"/>
      <c r="E25" s="78"/>
      <c r="G25" s="71"/>
      <c r="H25" s="78"/>
      <c r="J25" s="71"/>
      <c r="K25" s="78"/>
      <c r="M25" s="71"/>
      <c r="N25" s="78"/>
      <c r="P25" s="71"/>
    </row>
    <row r="26" spans="1:16" x14ac:dyDescent="0.3">
      <c r="A26" s="62">
        <f t="shared" ca="1" si="0"/>
        <v>45945</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45944</v>
      </c>
      <c r="B27" s="78" t="str" cm="1">
        <f t="array" aca="1" ref="B27" ca="1">IFERROR(_xlfn.TEXTJOIN(", ", TRUE, _xlfn._xlws.FILTER(MSG!C$5:C$98, MSG!B$5:B$98=A27)),"")</f>
        <v>(0.5%:78%)@257.75:(96=24,744@M: 257.745)&gt;UpMark 57%: CONTINUE V</v>
      </c>
      <c r="D27" s="71"/>
      <c r="E27" s="78"/>
      <c r="G27" s="71"/>
      <c r="H27" s="78"/>
      <c r="J27" s="71"/>
      <c r="K27" s="78"/>
      <c r="M27" s="71"/>
      <c r="N27" s="78"/>
      <c r="P27" s="71"/>
    </row>
    <row r="28" spans="1:16" x14ac:dyDescent="0.3">
      <c r="A28" s="62">
        <f t="shared" ca="1" si="0"/>
        <v>45943</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45942</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45941</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45940</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45939</v>
      </c>
      <c r="B32" s="78" t="str" cm="1">
        <f t="array" aca="1" ref="B32" ca="1">IFERROR(_xlfn.TEXTJOIN(", ", TRUE, _xlfn._xlws.FILTER(MSG!C$5:C$98, MSG!B$5:B$98=A32)),"")</f>
        <v>C^A^, C^A^(C^A^)2-Oct-25, GL+;C^A^^;58%M^, Completed BuyBack program, ^V;, M&gt;A;53%M^, ^^43%</v>
      </c>
      <c r="D32" s="71"/>
      <c r="E32" s="78"/>
      <c r="G32" s="71"/>
      <c r="H32" s="78"/>
      <c r="J32" s="71"/>
      <c r="K32" s="78"/>
      <c r="M32" s="71"/>
      <c r="N32" s="78"/>
      <c r="P32" s="71"/>
    </row>
    <row r="33" spans="1:16" x14ac:dyDescent="0.3">
      <c r="A33" s="62">
        <f t="shared" ca="1" si="0"/>
        <v>45938</v>
      </c>
      <c r="B33" s="78" t="str" cm="1">
        <f t="array" aca="1" ref="B33" ca="1">IFERROR(_xlfn.TEXTJOIN(", ", TRUE, _xlfn._xlws.FILTER(MSG!C$5:C$98, MSG!B$5:B$98=A33)),"")</f>
        <v>46, C=(23% -2.3%, 1.1%) A=1,400%=&gt;158%, C^A^, 10KX397 (L=405, -391), 62%M^, %M^, Report Nov-6, uptrend               , Low A, H M^, Up37%: wait further fall to buy (530x112.98 bought), C^A^; HOLD, A=2.28; 57%M^, 52High, At loss; buymore at low price (A=24.54), Very high Entry 290 (GL -167K$)</v>
      </c>
      <c r="D33" s="71"/>
      <c r="E33" s="78"/>
      <c r="G33" s="71"/>
      <c r="H33" s="78"/>
      <c r="J33" s="71"/>
      <c r="K33" s="78"/>
      <c r="M33" s="71"/>
      <c r="N33" s="78"/>
      <c r="P33" s="71"/>
    </row>
    <row r="34" spans="1:16" x14ac:dyDescent="0.3">
      <c r="A34" s="62">
        <f t="shared" ca="1" si="0"/>
        <v>45937</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45936</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45935</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45934</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45933</v>
      </c>
      <c r="B38" s="78" t="str" cm="1">
        <f t="array" aca="1" ref="B38" ca="1">IFERROR(_xlfn.TEXTJOIN(", ", TRUE, _xlfn._xlws.FILTER(MSG!C$5:C$98, MSG!B$5:B$98=A38)),"")</f>
        <v>See 1YT, High 1YT, Keep climbing, To climb because of the new product, high volatility, keeps 3/10</v>
      </c>
      <c r="D38" s="71"/>
      <c r="E38" s="78"/>
      <c r="G38" s="71"/>
      <c r="H38" s="78"/>
      <c r="J38" s="71"/>
      <c r="K38" s="78"/>
      <c r="M38" s="71"/>
      <c r="N38" s="78"/>
      <c r="P38" s="71"/>
    </row>
    <row r="39" spans="1:16" x14ac:dyDescent="0.3">
      <c r="A39" s="62">
        <f t="shared" ca="1" si="0"/>
        <v>45932</v>
      </c>
      <c r="B39" s="78" t="str" cm="1">
        <f t="array" aca="1" ref="B39" ca="1">IFERROR(_xlfn.TEXTJOIN(", ", TRUE, _xlfn._xlws.FILTER(MSG!C$5:C$98, MSG!B$5:B$98=A39)),"")</f>
        <v xml:space="preserve">To climb because of the new product, high volatility, keeps 3/10, RWE: Wait re-purchase for gain GT  , ENI: Sell 2,000 from .002,wait 15.2, GS: 0                              , JBEOAN: 0                          </v>
      </c>
      <c r="D39" s="71"/>
      <c r="E39" s="78"/>
      <c r="G39" s="71"/>
      <c r="H39" s="78"/>
      <c r="J39" s="71"/>
      <c r="K39" s="78"/>
      <c r="M39" s="71"/>
      <c r="N39" s="78"/>
      <c r="P39" s="71"/>
    </row>
    <row r="40" spans="1:16" x14ac:dyDescent="0.3">
      <c r="A40" s="62">
        <f t="shared" ca="1" si="0"/>
        <v>45931</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45930</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45929</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45928</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45927</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45926</v>
      </c>
      <c r="B45" s="78" t="str" cm="1">
        <f t="array" aca="1" ref="B45" ca="1">IFERROR(_xlfn.TEXTJOIN(", ", TRUE, _xlfn._xlws.FILTER(MSG!C$5:C$98, MSG!B$5:B$98=A45)),"")</f>
        <v>Low Agio: trend down?, -1%/65%@28.49:(508=14472); RSI shows inflexion point +2k bought, Stable Climbing, very low Agio, LAZR: 0                            , RRC: Wait further fall ti buy back/</v>
      </c>
      <c r="D45" s="71"/>
      <c r="E45" s="78"/>
      <c r="G45" s="71"/>
      <c r="H45" s="78"/>
      <c r="J45" s="71"/>
      <c r="K45" s="78"/>
      <c r="M45" s="71"/>
      <c r="N45" s="78"/>
      <c r="P45" s="71"/>
    </row>
    <row r="46" spans="1:16" x14ac:dyDescent="0.3">
      <c r="A46" s="62">
        <f t="shared" ca="1" si="0"/>
        <v>45925</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45924</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45923</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45922</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45921</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45920</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45919</v>
      </c>
      <c r="B52" s="78" t="str" cm="1">
        <f t="array" aca="1" ref="B52" ca="1">IFERROR(_xlfn.TEXTJOIN(", ", TRUE, _xlfn._xlws.FILTER(MSG!C$5:C$98, MSG!B$5:B$98=A52)),"")</f>
        <v xml:space="preserve">AAPL: Apple Test                   , Change flattening, Agio 91, Up43: time to sell?, DSY: Watch Effective Price in Calc; Agio 193, MUP62, MVEALDNE: 0                        , MVEDSY: Watch Effective Price      </v>
      </c>
      <c r="D52" s="71"/>
      <c r="E52" s="78"/>
      <c r="G52" s="71"/>
      <c r="H52" s="78"/>
      <c r="J52" s="71"/>
      <c r="K52" s="78"/>
      <c r="M52" s="71"/>
      <c r="N52" s="78"/>
      <c r="P52" s="71"/>
    </row>
    <row r="53" spans="1:16" x14ac:dyDescent="0.3">
      <c r="A53" s="62">
        <f t="shared" ca="1" si="0"/>
        <v>45918</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45917</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45916</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45915</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45914</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45913</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45912</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45911</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45910</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45968.941231944445</v>
      </c>
      <c r="D4" s="5"/>
      <c r="F4" s="3"/>
    </row>
    <row r="5" spans="1:8" x14ac:dyDescent="0.3">
      <c r="A5" t="s">
        <v>93</v>
      </c>
      <c r="B5" s="6">
        <f ca="1">TODAY()</f>
        <v>45968</v>
      </c>
      <c r="F5" s="7" t="s">
        <v>94</v>
      </c>
      <c r="G5" s="7" t="str">
        <f ca="1">IF((NOW()-TODAY()-TIME(9,0,0))-ACETZoneShift&lt;0,"Yesterday",NOW()-TODAY()-TIME(9,0,0)-ACETZoneShift)&amp;" CET"</f>
        <v>0.524565277778796 CET</v>
      </c>
    </row>
    <row r="6" spans="1:8" ht="23" thickBot="1" x14ac:dyDescent="0.35">
      <c r="A6" t="s">
        <v>652</v>
      </c>
      <c r="B6" s="8">
        <f ca="1">NOW()-TODAY()</f>
        <v>0.94123194444546243</v>
      </c>
      <c r="C6" t="s">
        <v>95</v>
      </c>
      <c r="E6" t="s">
        <v>96</v>
      </c>
      <c r="F6" s="9">
        <f ca="1">NOW()</f>
        <v>45968.941231944445</v>
      </c>
      <c r="G6" s="9">
        <f ca="1">NOW()-TODAY()-ACETZoneShift+1</f>
        <v>1.8995652777787959</v>
      </c>
    </row>
    <row r="7" spans="1:8" x14ac:dyDescent="0.3">
      <c r="A7" t="s">
        <v>97</v>
      </c>
      <c r="B7" s="8">
        <f ca="1">IF(NOW()-TODAY()-ACETZoneShift&lt;0,NOW()-TODAY()-ACETZoneShift+1,NOW()-TODAY()-ACETZoneShift)</f>
        <v>0.8995652777787958</v>
      </c>
      <c r="C7" t="s">
        <v>98</v>
      </c>
      <c r="D7" s="10">
        <f ca="1">[1]ExtEntry!$E$22</f>
        <v>45938.992447279685</v>
      </c>
      <c r="E7"/>
      <c r="F7" s="3"/>
    </row>
    <row r="8" spans="1:8" x14ac:dyDescent="0.3">
      <c r="A8" t="s">
        <v>99</v>
      </c>
      <c r="B8" s="8">
        <f ca="1">IF(ACET-TIME(1,0,0)&lt;0,ACET-TIME(1,0,0)+TIME(23,0,0),ACET-TIME(1,0,0))</f>
        <v>0.85789861111212917</v>
      </c>
      <c r="C8" t="s">
        <v>100</v>
      </c>
      <c r="D8" s="10">
        <f ca="1">NOW()-ALastTimeEoan-ACETZoneShift</f>
        <v>29.907118113832741</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45968.375</v>
      </c>
      <c r="E11" s="15"/>
      <c r="F11" s="7"/>
      <c r="G11" s="15"/>
      <c r="H11" s="13"/>
    </row>
    <row r="12" spans="1:8" x14ac:dyDescent="0.3">
      <c r="A12" s="16" t="s">
        <v>104</v>
      </c>
      <c r="B12" s="8"/>
      <c r="C12" t="s">
        <v>105</v>
      </c>
      <c r="D12" s="17">
        <f ca="1">B4-D11</f>
        <v>0.56623194444546243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0.8995652777787958</v>
      </c>
    </row>
    <row r="17" spans="1:8" x14ac:dyDescent="0.3">
      <c r="A17" s="12" t="s">
        <v>107</v>
      </c>
      <c r="B17" s="13"/>
      <c r="C17" s="13" t="s">
        <v>108</v>
      </c>
      <c r="D17" s="14">
        <f ca="1">TODAY()+TIME(9,0,0)</f>
        <v>45968.375</v>
      </c>
      <c r="E17" s="15"/>
      <c r="F17" s="7"/>
      <c r="G17" s="15"/>
      <c r="H17" s="13"/>
    </row>
    <row r="18" spans="1:8" x14ac:dyDescent="0.3">
      <c r="A18" s="16" t="s">
        <v>109</v>
      </c>
      <c r="C18" t="s">
        <v>105</v>
      </c>
      <c r="D18" s="17">
        <f ca="1">D12</f>
        <v>0.56623194444546243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2.4565277781221084E-2</v>
      </c>
      <c r="F20" s="7" t="s">
        <v>111</v>
      </c>
      <c r="H20" s="26">
        <f ca="1">ABS(NOW()-F22)</f>
        <v>45968.29539861111</v>
      </c>
    </row>
    <row r="21" spans="1:8" ht="23" thickBot="1" x14ac:dyDescent="0.35">
      <c r="C21" s="27" t="s">
        <v>112</v>
      </c>
      <c r="D21" s="28" t="str">
        <f ca="1">TEXT(D20,"HH:MM")</f>
        <v>00:35</v>
      </c>
      <c r="E21" s="29" t="s">
        <v>113</v>
      </c>
      <c r="F21" s="30">
        <f ca="1">IF(ActTime-CETZoneShift&lt;0,ActTime-TIME(6,0,0)-CETZoneShift+1,ActTime-TIME(6,0,0)-CETZoneShift)</f>
        <v>0.6495652777787958</v>
      </c>
      <c r="G21" s="29" t="s">
        <v>114</v>
      </c>
      <c r="H21" s="23" t="str">
        <f ca="1">TEXT(H20,"HH:MM")</f>
        <v>07:05</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45968.916666666664</v>
      </c>
      <c r="H22" s="13"/>
    </row>
    <row r="23" spans="1:8" x14ac:dyDescent="0.3">
      <c r="A23" s="16" t="s">
        <v>117</v>
      </c>
      <c r="C23" s="130" t="s">
        <v>118</v>
      </c>
      <c r="D23" t="s">
        <v>655</v>
      </c>
      <c r="E23" s="32">
        <f ca="1">ActTime</f>
        <v>0.94123194444546243</v>
      </c>
      <c r="F23" s="32">
        <f ca="1">ActTime</f>
        <v>0.94123194444546243</v>
      </c>
      <c r="G23" s="32">
        <f ca="1">ActTime</f>
        <v>0.94123194444546243</v>
      </c>
    </row>
    <row r="24" spans="1:8" ht="23" thickBot="1" x14ac:dyDescent="0.35">
      <c r="A24" s="16"/>
      <c r="B24" s="11" t="s">
        <v>119</v>
      </c>
      <c r="C24" s="131" t="s">
        <v>120</v>
      </c>
      <c r="D24" t="s">
        <v>656</v>
      </c>
      <c r="E24" s="17">
        <f>TIME(15,30,0)</f>
        <v>0.64583333333333337</v>
      </c>
      <c r="F24" s="17">
        <f>TIME(22,0,0)</f>
        <v>0.91666666666666663</v>
      </c>
      <c r="G24" s="17">
        <f ca="1">TODAY()+1+AOpenPost+TIME(4,0,0)</f>
        <v>91938.083333333328</v>
      </c>
    </row>
    <row r="25" spans="1:8" ht="23" thickBot="1" x14ac:dyDescent="0.35">
      <c r="A25" s="19" t="s">
        <v>121</v>
      </c>
      <c r="B25" s="20"/>
      <c r="C25" s="20"/>
      <c r="D25" s="20" t="s">
        <v>657</v>
      </c>
      <c r="E25" s="128">
        <f>E24-AOpenPre</f>
        <v>0.22916666666666669</v>
      </c>
      <c r="F25" s="128">
        <f>F24-AOpenTrade</f>
        <v>0.27083333333333337</v>
      </c>
      <c r="G25" s="128">
        <f ca="1">G24-AOpenPost</f>
        <v>45969.166666666664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2025-11-07T21:35:22Z</dcterms:modified>
  <cp:category/>
</cp:coreProperties>
</file>